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prod-my.sharepoint.com/personal/vodell_wisc_edu/Documents/Desktop/Upgrade/RebaselineReview/NSF_Rebaseline/1030s/"/>
    </mc:Choice>
  </mc:AlternateContent>
  <xr:revisionPtr revIDLastSave="7" documentId="8_{06AFAA5D-BCF2-4F86-9882-73C17C00BCF9}" xr6:coauthVersionLast="47" xr6:coauthVersionMax="47" xr10:uidLastSave="{DE7D23F3-90DA-4A95-AC48-52126126CA64}"/>
  <bookViews>
    <workbookView xWindow="1695" yWindow="2835" windowWidth="24795" windowHeight="12885" xr2:uid="{8F73EB03-04F9-43DE-83D6-FEC48B696472}"/>
  </bookViews>
  <sheets>
    <sheet name="PY0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6" i="1" l="1"/>
  <c r="AL85" i="1"/>
  <c r="AK85" i="1"/>
  <c r="AK88" i="1" s="1"/>
  <c r="AH85" i="1"/>
  <c r="AE85" i="1"/>
  <c r="AD85" i="1"/>
  <c r="AC85" i="1"/>
  <c r="AC88" i="1" s="1"/>
  <c r="AA85" i="1"/>
  <c r="Y85" i="1"/>
  <c r="X85" i="1"/>
  <c r="U85" i="1"/>
  <c r="T85" i="1"/>
  <c r="O85" i="1"/>
  <c r="N85" i="1"/>
  <c r="M85" i="1"/>
  <c r="K85" i="1"/>
  <c r="D84" i="1"/>
  <c r="D79" i="1"/>
  <c r="D77" i="1"/>
  <c r="D76" i="1"/>
  <c r="D75" i="1"/>
  <c r="D74" i="1"/>
  <c r="AM73" i="1"/>
  <c r="AL73" i="1"/>
  <c r="AL81" i="1" s="1"/>
  <c r="AK73" i="1"/>
  <c r="AK81" i="1" s="1"/>
  <c r="AF73" i="1"/>
  <c r="AE73" i="1"/>
  <c r="AE81" i="1" s="1"/>
  <c r="AC73" i="1"/>
  <c r="AC81" i="1" s="1"/>
  <c r="AA73" i="1"/>
  <c r="X73" i="1"/>
  <c r="X81" i="1" s="1"/>
  <c r="W73" i="1"/>
  <c r="V73" i="1"/>
  <c r="U73" i="1"/>
  <c r="U81" i="1" s="1"/>
  <c r="T73" i="1"/>
  <c r="T81" i="1" s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D66" i="1"/>
  <c r="D64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P63" i="1"/>
  <c r="O63" i="1"/>
  <c r="N63" i="1"/>
  <c r="M63" i="1"/>
  <c r="L63" i="1"/>
  <c r="K63" i="1"/>
  <c r="J63" i="1"/>
  <c r="D63" i="1" s="1"/>
  <c r="I63" i="1"/>
  <c r="H63" i="1"/>
  <c r="G63" i="1"/>
  <c r="F63" i="1"/>
  <c r="E63" i="1"/>
  <c r="D61" i="1"/>
  <c r="D60" i="1"/>
  <c r="D59" i="1"/>
  <c r="D58" i="1"/>
  <c r="D57" i="1"/>
  <c r="AN54" i="1"/>
  <c r="AL54" i="1"/>
  <c r="AK54" i="1"/>
  <c r="AH54" i="1"/>
  <c r="AF54" i="1"/>
  <c r="AE54" i="1"/>
  <c r="AD54" i="1"/>
  <c r="AC54" i="1"/>
  <c r="AA54" i="1"/>
  <c r="Y54" i="1"/>
  <c r="X54" i="1"/>
  <c r="W54" i="1"/>
  <c r="U54" i="1"/>
  <c r="T54" i="1"/>
  <c r="R54" i="1"/>
  <c r="O54" i="1"/>
  <c r="N54" i="1"/>
  <c r="M54" i="1"/>
  <c r="L54" i="1"/>
  <c r="K54" i="1"/>
  <c r="I54" i="1"/>
  <c r="H54" i="1"/>
  <c r="G54" i="1"/>
  <c r="F54" i="1"/>
  <c r="D52" i="1"/>
  <c r="D51" i="1"/>
  <c r="D50" i="1"/>
  <c r="D49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D46" i="1" s="1"/>
  <c r="D44" i="1"/>
  <c r="AN42" i="1"/>
  <c r="AL42" i="1"/>
  <c r="AK42" i="1"/>
  <c r="AH42" i="1"/>
  <c r="AF42" i="1"/>
  <c r="AE42" i="1"/>
  <c r="AD42" i="1"/>
  <c r="AC42" i="1"/>
  <c r="AA42" i="1"/>
  <c r="AA81" i="1" s="1"/>
  <c r="AA88" i="1" s="1"/>
  <c r="Z42" i="1"/>
  <c r="Y42" i="1"/>
  <c r="X42" i="1"/>
  <c r="W42" i="1"/>
  <c r="U42" i="1"/>
  <c r="T42" i="1"/>
  <c r="P42" i="1"/>
  <c r="O42" i="1"/>
  <c r="N42" i="1"/>
  <c r="M42" i="1"/>
  <c r="L42" i="1"/>
  <c r="K42" i="1"/>
  <c r="I42" i="1"/>
  <c r="H42" i="1"/>
  <c r="G42" i="1"/>
  <c r="F42" i="1"/>
  <c r="AN37" i="1"/>
  <c r="AL37" i="1"/>
  <c r="AK37" i="1"/>
  <c r="AJ37" i="1"/>
  <c r="AI37" i="1"/>
  <c r="AH37" i="1"/>
  <c r="AF37" i="1"/>
  <c r="AE37" i="1"/>
  <c r="AD37" i="1"/>
  <c r="AC37" i="1"/>
  <c r="AA37" i="1"/>
  <c r="Z37" i="1"/>
  <c r="Y37" i="1"/>
  <c r="X37" i="1"/>
  <c r="W37" i="1"/>
  <c r="U37" i="1"/>
  <c r="T37" i="1"/>
  <c r="I37" i="1"/>
  <c r="H37" i="1"/>
  <c r="G37" i="1"/>
  <c r="F37" i="1"/>
  <c r="E37" i="1"/>
  <c r="AN28" i="1"/>
  <c r="AL28" i="1"/>
  <c r="AK28" i="1"/>
  <c r="AI28" i="1"/>
  <c r="AH28" i="1"/>
  <c r="AE28" i="1"/>
  <c r="AD28" i="1"/>
  <c r="AC28" i="1"/>
  <c r="AA28" i="1"/>
  <c r="Y28" i="1"/>
  <c r="X28" i="1"/>
  <c r="U28" i="1"/>
  <c r="T28" i="1"/>
  <c r="R28" i="1"/>
  <c r="P28" i="1"/>
  <c r="O28" i="1"/>
  <c r="N28" i="1"/>
  <c r="M28" i="1"/>
  <c r="L28" i="1"/>
  <c r="K28" i="1"/>
  <c r="Q83" i="1"/>
  <c r="M33" i="1"/>
  <c r="F12" i="1"/>
  <c r="P83" i="1"/>
  <c r="V33" i="1"/>
  <c r="AB83" i="1"/>
  <c r="M34" i="1"/>
  <c r="C19" i="1"/>
  <c r="C23" i="1"/>
  <c r="AI39" i="1"/>
  <c r="J18" i="1"/>
  <c r="P48" i="1"/>
  <c r="AB68" i="1"/>
  <c r="AM30" i="1"/>
  <c r="AG70" i="1"/>
  <c r="O33" i="1"/>
  <c r="R83" i="1"/>
  <c r="AM33" i="1"/>
  <c r="E83" i="1"/>
  <c r="AB30" i="1"/>
  <c r="C8" i="1"/>
  <c r="AN71" i="1"/>
  <c r="L33" i="1"/>
  <c r="L83" i="1"/>
  <c r="S33" i="1"/>
  <c r="C17" i="1"/>
  <c r="F13" i="1"/>
  <c r="E39" i="1"/>
  <c r="I16" i="1"/>
  <c r="AB39" i="1"/>
  <c r="AM48" i="1"/>
  <c r="S30" i="1"/>
  <c r="Y68" i="1"/>
  <c r="AG30" i="1"/>
  <c r="F83" i="1"/>
  <c r="AJ69" i="1"/>
  <c r="H30" i="1"/>
  <c r="Z68" i="1"/>
  <c r="E69" i="1"/>
  <c r="Z30" i="1"/>
  <c r="AI71" i="1"/>
  <c r="K33" i="1"/>
  <c r="G14" i="1"/>
  <c r="Z83" i="1"/>
  <c r="V34" i="1"/>
  <c r="E9" i="1"/>
  <c r="P33" i="1"/>
  <c r="Q48" i="1"/>
  <c r="C26" i="1"/>
  <c r="AI48" i="1"/>
  <c r="J30" i="1"/>
  <c r="AG48" i="1"/>
  <c r="AF30" i="1"/>
  <c r="V25" i="1"/>
  <c r="W26" i="1"/>
  <c r="AD68" i="1"/>
  <c r="C9" i="1"/>
  <c r="J40" i="1"/>
  <c r="C20" i="1"/>
  <c r="Q33" i="1"/>
  <c r="P34" i="1"/>
  <c r="N33" i="1"/>
  <c r="AB48" i="1"/>
  <c r="AG24" i="1"/>
  <c r="AM40" i="1"/>
  <c r="Z48" i="1"/>
  <c r="G30" i="1"/>
  <c r="V48" i="1"/>
  <c r="W30" i="1"/>
  <c r="C12" i="1"/>
  <c r="J83" i="1"/>
  <c r="L34" i="1"/>
  <c r="C7" i="1"/>
  <c r="Q30" i="1"/>
  <c r="R40" i="1"/>
  <c r="C21" i="1"/>
  <c r="J48" i="1"/>
  <c r="AJ22" i="1"/>
  <c r="E48" i="1"/>
  <c r="I30" i="1"/>
  <c r="AM39" i="1"/>
  <c r="V30" i="1"/>
  <c r="AJ83" i="1"/>
  <c r="E40" i="1"/>
  <c r="I83" i="1"/>
  <c r="AI83" i="1"/>
  <c r="AG40" i="1"/>
  <c r="C22" i="1"/>
  <c r="J34" i="1"/>
  <c r="AB40" i="1"/>
  <c r="AB21" i="1"/>
  <c r="V40" i="1"/>
  <c r="F30" i="1"/>
  <c r="AJ48" i="1"/>
  <c r="E71" i="1"/>
  <c r="R33" i="1"/>
  <c r="AM83" i="1"/>
  <c r="C18" i="1"/>
  <c r="AG39" i="1"/>
  <c r="C14" i="1"/>
  <c r="AJ40" i="1"/>
  <c r="S17" i="1"/>
  <c r="AI40" i="1"/>
  <c r="C25" i="1"/>
  <c r="R39" i="1"/>
  <c r="AF19" i="1"/>
  <c r="Q14" i="1"/>
  <c r="AJ39" i="1"/>
  <c r="Q40" i="1"/>
  <c r="V83" i="1"/>
  <c r="S34" i="1"/>
  <c r="I15" i="1"/>
  <c r="AM23" i="1"/>
  <c r="Q34" i="1"/>
  <c r="O34" i="1"/>
  <c r="H17" i="1"/>
  <c r="C16" i="1"/>
  <c r="Q39" i="1"/>
  <c r="E7" i="1"/>
  <c r="J39" i="1"/>
  <c r="C24" i="1"/>
  <c r="R34" i="1"/>
  <c r="S48" i="1"/>
  <c r="E30" i="1"/>
  <c r="H83" i="1"/>
  <c r="W83" i="1"/>
  <c r="K34" i="1"/>
  <c r="S83" i="1"/>
  <c r="V39" i="1"/>
  <c r="E8" i="1"/>
  <c r="S39" i="1"/>
  <c r="J17" i="1"/>
  <c r="AG83" i="1"/>
  <c r="AB33" i="1"/>
  <c r="C15" i="1"/>
  <c r="AF83" i="1"/>
  <c r="N34" i="1"/>
  <c r="AJ20" i="1"/>
  <c r="AG34" i="1"/>
  <c r="Z21" i="1"/>
  <c r="AJ30" i="1"/>
  <c r="S40" i="1"/>
  <c r="AH70" i="1"/>
  <c r="G83" i="1"/>
  <c r="C13" i="1"/>
  <c r="J28" i="1" l="1"/>
  <c r="N37" i="1"/>
  <c r="AM37" i="1"/>
  <c r="S42" i="1"/>
  <c r="D40" i="1"/>
  <c r="D48" i="1"/>
  <c r="E54" i="1"/>
  <c r="AG54" i="1"/>
  <c r="F85" i="1"/>
  <c r="R85" i="1"/>
  <c r="AI85" i="1"/>
  <c r="D8" i="1"/>
  <c r="I28" i="1"/>
  <c r="D15" i="1"/>
  <c r="S28" i="1"/>
  <c r="D22" i="1"/>
  <c r="O37" i="1"/>
  <c r="V42" i="1"/>
  <c r="J54" i="1"/>
  <c r="AI54" i="1"/>
  <c r="Y73" i="1"/>
  <c r="Y81" i="1" s="1"/>
  <c r="D68" i="1"/>
  <c r="AG73" i="1"/>
  <c r="D70" i="1"/>
  <c r="G85" i="1"/>
  <c r="S85" i="1"/>
  <c r="AJ85" i="1"/>
  <c r="Q37" i="1"/>
  <c r="AG42" i="1"/>
  <c r="Q54" i="1"/>
  <c r="Q81" i="1" s="1"/>
  <c r="AM54" i="1"/>
  <c r="AB73" i="1"/>
  <c r="I85" i="1"/>
  <c r="W85" i="1"/>
  <c r="P37" i="1"/>
  <c r="AB42" i="1"/>
  <c r="P54" i="1"/>
  <c r="AH73" i="1"/>
  <c r="AH81" i="1" s="1"/>
  <c r="AH88" i="1" s="1"/>
  <c r="H85" i="1"/>
  <c r="V85" i="1"/>
  <c r="AM85" i="1"/>
  <c r="D9" i="1"/>
  <c r="D16" i="1"/>
  <c r="D18" i="1"/>
  <c r="D23" i="1"/>
  <c r="AM28" i="1"/>
  <c r="AM81" i="1" s="1"/>
  <c r="D30" i="1"/>
  <c r="R37" i="1"/>
  <c r="E42" i="1"/>
  <c r="D39" i="1"/>
  <c r="AI42" i="1"/>
  <c r="S54" i="1"/>
  <c r="AD73" i="1"/>
  <c r="AD81" i="1" s="1"/>
  <c r="AD88" i="1" s="1"/>
  <c r="D71" i="1"/>
  <c r="J85" i="1"/>
  <c r="Z85" i="1"/>
  <c r="D13" i="1"/>
  <c r="AJ54" i="1"/>
  <c r="D14" i="1"/>
  <c r="G28" i="1"/>
  <c r="Z28" i="1"/>
  <c r="D21" i="1"/>
  <c r="D26" i="1"/>
  <c r="W28" i="1"/>
  <c r="K37" i="1"/>
  <c r="D33" i="1"/>
  <c r="S37" i="1"/>
  <c r="AG37" i="1"/>
  <c r="J42" i="1"/>
  <c r="AJ42" i="1"/>
  <c r="V54" i="1"/>
  <c r="AI73" i="1"/>
  <c r="AI81" i="1" s="1"/>
  <c r="L85" i="1"/>
  <c r="AB85" i="1"/>
  <c r="AJ28" i="1"/>
  <c r="D20" i="1"/>
  <c r="E28" i="1"/>
  <c r="D7" i="1"/>
  <c r="Q28" i="1"/>
  <c r="AB28" i="1"/>
  <c r="L37" i="1"/>
  <c r="V37" i="1"/>
  <c r="Q42" i="1"/>
  <c r="AM42" i="1"/>
  <c r="Z54" i="1"/>
  <c r="D69" i="1"/>
  <c r="E73" i="1"/>
  <c r="AN73" i="1"/>
  <c r="AN81" i="1" s="1"/>
  <c r="AN83" i="1" s="1"/>
  <c r="AN85" i="1" s="1"/>
  <c r="AN88" i="1" s="1"/>
  <c r="P85" i="1"/>
  <c r="AF85" i="1"/>
  <c r="D25" i="1"/>
  <c r="V28" i="1"/>
  <c r="J37" i="1"/>
  <c r="J81" i="1" s="1"/>
  <c r="D34" i="1"/>
  <c r="Z73" i="1"/>
  <c r="D12" i="1"/>
  <c r="F28" i="1"/>
  <c r="D17" i="1"/>
  <c r="H28" i="1"/>
  <c r="D19" i="1"/>
  <c r="AF28" i="1"/>
  <c r="AF81" i="1" s="1"/>
  <c r="D24" i="1"/>
  <c r="AG28" i="1"/>
  <c r="M37" i="1"/>
  <c r="M81" i="1" s="1"/>
  <c r="M88" i="1" s="1"/>
  <c r="AB37" i="1"/>
  <c r="R42" i="1"/>
  <c r="AB54" i="1"/>
  <c r="AJ73" i="1"/>
  <c r="E85" i="1"/>
  <c r="D83" i="1"/>
  <c r="D85" i="1" s="1"/>
  <c r="Q85" i="1"/>
  <c r="AG85" i="1"/>
  <c r="H81" i="1"/>
  <c r="P81" i="1"/>
  <c r="I81" i="1"/>
  <c r="AE88" i="1"/>
  <c r="V81" i="1"/>
  <c r="R81" i="1"/>
  <c r="T88" i="1"/>
  <c r="N81" i="1"/>
  <c r="N88" i="1" s="1"/>
  <c r="G81" i="1"/>
  <c r="U88" i="1"/>
  <c r="F81" i="1"/>
  <c r="O81" i="1"/>
  <c r="O88" i="1" s="1"/>
  <c r="L81" i="1"/>
  <c r="X88" i="1"/>
  <c r="AL88" i="1"/>
  <c r="W81" i="1"/>
  <c r="K81" i="1"/>
  <c r="K88" i="1" s="1"/>
  <c r="Y88" i="1"/>
  <c r="D37" i="1" l="1"/>
  <c r="Z81" i="1"/>
  <c r="Z88" i="1"/>
  <c r="V88" i="1"/>
  <c r="AB81" i="1"/>
  <c r="AB88" i="1" s="1"/>
  <c r="Q88" i="1"/>
  <c r="D73" i="1"/>
  <c r="E81" i="1"/>
  <c r="E88" i="1" s="1"/>
  <c r="J88" i="1"/>
  <c r="H88" i="1"/>
  <c r="AG81" i="1"/>
  <c r="AG88" i="1" s="1"/>
  <c r="D54" i="1"/>
  <c r="D28" i="1"/>
  <c r="AJ81" i="1"/>
  <c r="AJ88" i="1" s="1"/>
  <c r="S81" i="1"/>
  <c r="S88" i="1" s="1"/>
  <c r="AI88" i="1"/>
  <c r="AF88" i="1"/>
  <c r="W88" i="1"/>
  <c r="R88" i="1"/>
  <c r="P88" i="1"/>
  <c r="L88" i="1"/>
  <c r="D42" i="1"/>
  <c r="AM88" i="1"/>
  <c r="I88" i="1"/>
  <c r="G88" i="1"/>
  <c r="F88" i="1"/>
  <c r="D81" i="1" l="1"/>
  <c r="D88" i="1" s="1"/>
</calcChain>
</file>

<file path=xl/sharedStrings.xml><?xml version="1.0" encoding="utf-8"?>
<sst xmlns="http://schemas.openxmlformats.org/spreadsheetml/2006/main" count="139" uniqueCount="131">
  <si>
    <t>1.1 Project Office</t>
  </si>
  <si>
    <t>1.2 Drilling and Installation</t>
  </si>
  <si>
    <t>1.3 Deep Ice Sensor Modules</t>
  </si>
  <si>
    <t>1.4 Comm/Power/Timing</t>
  </si>
  <si>
    <t>1.5 Characterization and Calibration System</t>
  </si>
  <si>
    <t>1.6 IceCube Data Systems Integration</t>
  </si>
  <si>
    <t>1.1.1 Project Management</t>
  </si>
  <si>
    <t>1.1.2 Project Controls</t>
  </si>
  <si>
    <t>1.1.3 Quality and Safety</t>
  </si>
  <si>
    <t>1.1.4 Polar Operations</t>
  </si>
  <si>
    <t>1.1.5 Project Engineering</t>
  </si>
  <si>
    <t>1.2.1 Implementation Management &amp; Systems Engineering</t>
  </si>
  <si>
    <t>1.2.2 Thermal Plant - Off-ice</t>
  </si>
  <si>
    <t>1.2.3 Tower Operations Site (TOS) - Off-ice</t>
  </si>
  <si>
    <t>1.2.4 Computing and Control System - Off-ice</t>
  </si>
  <si>
    <t>1.2.5 Power Generation &amp; Distribution</t>
  </si>
  <si>
    <t>1.2.6 Water Handling Systems - Off-ice</t>
  </si>
  <si>
    <t>1.2.7 Support Equipment - Off-ice</t>
  </si>
  <si>
    <t>1.2.8 Drill Field Seasons - Antarctica</t>
  </si>
  <si>
    <t>1.2.9 Installation - Off-ice</t>
  </si>
  <si>
    <t>1.2.10 Installation Field Seasons - Antarctica</t>
  </si>
  <si>
    <t>1.3.1 mDOM</t>
  </si>
  <si>
    <t>1.3.2 D-Egg</t>
  </si>
  <si>
    <t>1.3.3 PDOM</t>
  </si>
  <si>
    <t>1.3.4 Ice Comms Module</t>
  </si>
  <si>
    <t>1.3.5 Special Devices</t>
  </si>
  <si>
    <t>1.4.1 Downhole Cables</t>
  </si>
  <si>
    <t>1.4.2 Surface Cables</t>
  </si>
  <si>
    <t>1.4.3 FieldHub</t>
  </si>
  <si>
    <t>1.4.4 CPT Central Infrastructure</t>
  </si>
  <si>
    <t>1.4.5 Northern Test System</t>
  </si>
  <si>
    <t>1.4.6 CPT Management (PY4 onward)</t>
  </si>
  <si>
    <t>1.5.1 Module Calibration</t>
  </si>
  <si>
    <t>1.5.2 Calibration Assemblies</t>
  </si>
  <si>
    <t>1.5.3 Array Calibration</t>
  </si>
  <si>
    <t>1.5.4 Calibration Management and Organization</t>
  </si>
  <si>
    <t>1.6.0 L2 Task Management</t>
  </si>
  <si>
    <t>1.6.1 Online Systems Software</t>
  </si>
  <si>
    <t>1.6.2 Offline Systems</t>
  </si>
  <si>
    <t>1.6.3 Simulation Software</t>
  </si>
  <si>
    <t>1.6.4 Computing Infrastructure</t>
  </si>
  <si>
    <t>1.6.5 Upgrade String Commissioning</t>
  </si>
  <si>
    <t>Expense Description</t>
  </si>
  <si>
    <t>Senior Personnel</t>
  </si>
  <si>
    <t xml:space="preserve"> </t>
  </si>
  <si>
    <t>Title</t>
  </si>
  <si>
    <t>Last Name</t>
  </si>
  <si>
    <t>Cal. Mo.</t>
  </si>
  <si>
    <t>Principal Investigator</t>
  </si>
  <si>
    <t>Hanson</t>
  </si>
  <si>
    <t>Project Manager</t>
  </si>
  <si>
    <t>Feyzi</t>
  </si>
  <si>
    <t>Project Director</t>
  </si>
  <si>
    <t>ODell</t>
  </si>
  <si>
    <t>Other Personnel</t>
  </si>
  <si>
    <t>Project Controls Manager</t>
  </si>
  <si>
    <t>Finance</t>
  </si>
  <si>
    <t>Project Controls Analyst</t>
  </si>
  <si>
    <t>Controls</t>
  </si>
  <si>
    <t>Quality and Safety</t>
  </si>
  <si>
    <t>Zernick</t>
  </si>
  <si>
    <t>Technical Coordinator</t>
  </si>
  <si>
    <t>DuVernois</t>
  </si>
  <si>
    <t>Project Engineer</t>
  </si>
  <si>
    <t>Sandstrom</t>
  </si>
  <si>
    <t>Logistics Manager</t>
  </si>
  <si>
    <t>Tosi</t>
  </si>
  <si>
    <t>Implementation Manager</t>
  </si>
  <si>
    <t>McEwen</t>
  </si>
  <si>
    <t>Engineer / Technician</t>
  </si>
  <si>
    <t>Wendt</t>
  </si>
  <si>
    <t>Weber</t>
  </si>
  <si>
    <t xml:space="preserve">Engineer  </t>
  </si>
  <si>
    <t>Kelley</t>
  </si>
  <si>
    <t>Braun</t>
  </si>
  <si>
    <t>Auer</t>
  </si>
  <si>
    <t>Senior Scientist</t>
  </si>
  <si>
    <t>Scientist</t>
  </si>
  <si>
    <t>S. Griffin</t>
  </si>
  <si>
    <t>Total Salaries and Wages</t>
  </si>
  <si>
    <t>Fringe Benefits</t>
  </si>
  <si>
    <t>Equipment</t>
  </si>
  <si>
    <t>Descrip.</t>
  </si>
  <si>
    <t>Qty</t>
  </si>
  <si>
    <t>Unit Cost</t>
  </si>
  <si>
    <t>Capital Eqipment</t>
  </si>
  <si>
    <t>Capitalized Labor</t>
  </si>
  <si>
    <t>Subtotal - Eqpt</t>
  </si>
  <si>
    <t>Travel</t>
  </si>
  <si>
    <t>Domestic</t>
  </si>
  <si>
    <t>Foreign</t>
  </si>
  <si>
    <t>Subtotal - Travel</t>
  </si>
  <si>
    <t>Participant Support Costs</t>
  </si>
  <si>
    <t>Descr</t>
  </si>
  <si>
    <t># participants</t>
  </si>
  <si>
    <t>Subtotal - Part. Supp.</t>
  </si>
  <si>
    <t>Other Direct Costs</t>
  </si>
  <si>
    <t>Materials and Supplies</t>
  </si>
  <si>
    <t>Computers/Office</t>
  </si>
  <si>
    <t>Software/licenses</t>
  </si>
  <si>
    <t>Other categories</t>
  </si>
  <si>
    <t>And other cats…</t>
  </si>
  <si>
    <t>Subtotal - Materials and Supplies</t>
  </si>
  <si>
    <t>Publication Costs/Documentation/Dissemination</t>
  </si>
  <si>
    <t>Consultant Services Description</t>
  </si>
  <si>
    <t>Software/Programming</t>
  </si>
  <si>
    <t>Database consultant</t>
  </si>
  <si>
    <t>Another professional service</t>
  </si>
  <si>
    <t>Etc.</t>
  </si>
  <si>
    <t>Subtotal - Consultant/Prof Services</t>
  </si>
  <si>
    <t>Computer Services</t>
  </si>
  <si>
    <t>Subotal Computer Services</t>
  </si>
  <si>
    <t>Subawards</t>
  </si>
  <si>
    <t>MSU</t>
  </si>
  <si>
    <t>PSU</t>
  </si>
  <si>
    <t>UA</t>
  </si>
  <si>
    <t>UMD</t>
  </si>
  <si>
    <t>Subtotal - Subawards</t>
  </si>
  <si>
    <t>Other - Contingency</t>
  </si>
  <si>
    <t>Leases</t>
  </si>
  <si>
    <t>Maint/Repair</t>
  </si>
  <si>
    <t>Shipping/Postage</t>
  </si>
  <si>
    <t>Subtotal - Other</t>
  </si>
  <si>
    <t>Total - Direct Costs</t>
  </si>
  <si>
    <t>Indirect Costs</t>
  </si>
  <si>
    <t>Office OH</t>
  </si>
  <si>
    <t>Other OH Contingency</t>
  </si>
  <si>
    <t>Subtotal - Indirect Costs</t>
  </si>
  <si>
    <t>Total - Direct and Indirect</t>
  </si>
  <si>
    <t>Year 8 Budget</t>
  </si>
  <si>
    <t>Total Yr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</si>
</sst>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14">
    <xf numFmtId="0" fontId="0" fillId="0" borderId="0" xfId="0"/>
    <xf numFmtId="44" fontId="0" fillId="0" borderId="0" xfId="0" applyNumberFormat="1"/>
    <xf numFmtId="44" fontId="2" fillId="0" borderId="6" xfId="0" applyNumberFormat="1" applyFont="1" applyBorder="1" applyAlignment="1">
      <alignment horizontal="center" vertical="top" wrapText="1"/>
    </xf>
    <xf numFmtId="44" fontId="2" fillId="0" borderId="0" xfId="0" applyNumberFormat="1" applyFont="1" applyAlignment="1">
      <alignment horizontal="center" vertical="top" wrapText="1"/>
    </xf>
    <xf numFmtId="44" fontId="2" fillId="0" borderId="7" xfId="0" applyNumberFormat="1" applyFont="1" applyBorder="1" applyAlignment="1">
      <alignment horizontal="center" vertical="top" wrapText="1"/>
    </xf>
    <xf numFmtId="44" fontId="2" fillId="0" borderId="6" xfId="0" applyNumberFormat="1" applyFont="1" applyBorder="1" applyAlignment="1">
      <alignment horizontal="left" vertical="top" wrapText="1"/>
    </xf>
    <xf numFmtId="44" fontId="2" fillId="0" borderId="0" xfId="0" applyNumberFormat="1" applyFont="1" applyAlignment="1">
      <alignment horizontal="left" vertical="top" wrapText="1"/>
    </xf>
    <xf numFmtId="44" fontId="2" fillId="0" borderId="7" xfId="0" applyNumberFormat="1" applyFont="1" applyBorder="1" applyAlignment="1">
      <alignment horizontal="left" vertical="top" wrapText="1"/>
    </xf>
    <xf numFmtId="44" fontId="2" fillId="0" borderId="6" xfId="0" applyNumberFormat="1" applyFont="1" applyBorder="1" applyAlignment="1">
      <alignment vertical="top" wrapText="1"/>
    </xf>
    <xf numFmtId="44" fontId="2" fillId="0" borderId="0" xfId="0" applyNumberFormat="1" applyFont="1" applyAlignment="1">
      <alignment vertical="top" wrapText="1"/>
    </xf>
    <xf numFmtId="44" fontId="2" fillId="0" borderId="7" xfId="0" applyNumberFormat="1" applyFont="1" applyBorder="1" applyAlignment="1">
      <alignment vertical="top" wrapText="1"/>
    </xf>
    <xf numFmtId="0" fontId="2" fillId="0" borderId="0" xfId="0" applyFont="1"/>
    <xf numFmtId="44" fontId="2" fillId="2" borderId="8" xfId="0" applyNumberFormat="1" applyFont="1" applyFill="1" applyBorder="1"/>
    <xf numFmtId="44" fontId="0" fillId="0" borderId="6" xfId="0" applyNumberFormat="1" applyBorder="1"/>
    <xf numFmtId="44" fontId="0" fillId="0" borderId="7" xfId="0" applyNumberFormat="1" applyBorder="1"/>
    <xf numFmtId="0" fontId="2" fillId="3" borderId="0" xfId="0" applyFont="1" applyFill="1"/>
    <xf numFmtId="6" fontId="2" fillId="3" borderId="0" xfId="0" applyNumberFormat="1" applyFont="1" applyFill="1"/>
    <xf numFmtId="44" fontId="2" fillId="3" borderId="9" xfId="0" applyNumberFormat="1" applyFont="1" applyFill="1" applyBorder="1"/>
    <xf numFmtId="44" fontId="2" fillId="3" borderId="6" xfId="0" applyNumberFormat="1" applyFont="1" applyFill="1" applyBorder="1"/>
    <xf numFmtId="44" fontId="2" fillId="3" borderId="0" xfId="0" applyNumberFormat="1" applyFont="1" applyFill="1"/>
    <xf numFmtId="44" fontId="2" fillId="3" borderId="7" xfId="0" applyNumberFormat="1" applyFont="1" applyFill="1" applyBorder="1"/>
    <xf numFmtId="0" fontId="3" fillId="0" borderId="0" xfId="0" applyFont="1" applyAlignment="1">
      <alignment horizontal="center"/>
    </xf>
    <xf numFmtId="44" fontId="0" fillId="2" borderId="9" xfId="0" applyNumberFormat="1" applyFill="1" applyBorder="1"/>
    <xf numFmtId="44" fontId="4" fillId="0" borderId="6" xfId="0" applyNumberFormat="1" applyFont="1" applyBorder="1"/>
    <xf numFmtId="44" fontId="4" fillId="0" borderId="0" xfId="0" applyNumberFormat="1" applyFont="1"/>
    <xf numFmtId="44" fontId="4" fillId="0" borderId="7" xfId="0" applyNumberFormat="1" applyFont="1" applyBorder="1"/>
    <xf numFmtId="44" fontId="4" fillId="0" borderId="10" xfId="0" applyNumberFormat="1" applyFont="1" applyBorder="1"/>
    <xf numFmtId="0" fontId="4" fillId="0" borderId="0" xfId="0" applyFont="1"/>
    <xf numFmtId="2" fontId="4" fillId="0" borderId="0" xfId="0" applyNumberFormat="1" applyFont="1"/>
    <xf numFmtId="44" fontId="4" fillId="0" borderId="0" xfId="1" applyFont="1" applyFill="1" applyBorder="1"/>
    <xf numFmtId="44" fontId="4" fillId="0" borderId="7" xfId="1" applyFont="1" applyFill="1" applyBorder="1"/>
    <xf numFmtId="44" fontId="4" fillId="0" borderId="6" xfId="1" applyFont="1" applyFill="1" applyBorder="1"/>
    <xf numFmtId="44" fontId="4" fillId="0" borderId="10" xfId="1" applyFont="1" applyFill="1" applyBorder="1"/>
    <xf numFmtId="2" fontId="4" fillId="4" borderId="0" xfId="0" applyNumberFormat="1" applyFont="1" applyFill="1"/>
    <xf numFmtId="44" fontId="0" fillId="5" borderId="11" xfId="0" applyNumberFormat="1" applyFill="1" applyBorder="1"/>
    <xf numFmtId="44" fontId="4" fillId="0" borderId="9" xfId="1" applyFont="1" applyFill="1" applyBorder="1"/>
    <xf numFmtId="164" fontId="4" fillId="0" borderId="0" xfId="0" applyNumberFormat="1" applyFont="1"/>
    <xf numFmtId="0" fontId="0" fillId="3" borderId="0" xfId="0" applyFill="1"/>
    <xf numFmtId="44" fontId="0" fillId="3" borderId="6" xfId="0" applyNumberFormat="1" applyFill="1" applyBorder="1"/>
    <xf numFmtId="44" fontId="5" fillId="0" borderId="6" xfId="0" applyNumberFormat="1" applyFont="1" applyBorder="1"/>
    <xf numFmtId="44" fontId="5" fillId="0" borderId="0" xfId="0" applyNumberFormat="1" applyFont="1"/>
    <xf numFmtId="44" fontId="5" fillId="0" borderId="7" xfId="0" applyNumberFormat="1" applyFont="1" applyBorder="1"/>
    <xf numFmtId="44" fontId="5" fillId="0" borderId="10" xfId="0" applyNumberFormat="1" applyFont="1" applyBorder="1"/>
    <xf numFmtId="44" fontId="2" fillId="3" borderId="10" xfId="0" applyNumberFormat="1" applyFont="1" applyFill="1" applyBorder="1"/>
    <xf numFmtId="0" fontId="6" fillId="0" borderId="0" xfId="0" applyFont="1" applyAlignment="1">
      <alignment horizontal="center"/>
    </xf>
    <xf numFmtId="44" fontId="4" fillId="2" borderId="6" xfId="0" applyNumberFormat="1" applyFont="1" applyFill="1" applyBorder="1"/>
    <xf numFmtId="44" fontId="4" fillId="2" borderId="9" xfId="0" applyNumberFormat="1" applyFont="1" applyFill="1" applyBorder="1"/>
    <xf numFmtId="44" fontId="4" fillId="0" borderId="6" xfId="1" applyFont="1" applyBorder="1"/>
    <xf numFmtId="44" fontId="4" fillId="0" borderId="0" xfId="1" applyFont="1" applyBorder="1"/>
    <xf numFmtId="44" fontId="4" fillId="0" borderId="7" xfId="1" applyFont="1" applyBorder="1"/>
    <xf numFmtId="44" fontId="4" fillId="0" borderId="9" xfId="0" applyNumberFormat="1" applyFont="1" applyBorder="1"/>
    <xf numFmtId="44" fontId="4" fillId="0" borderId="12" xfId="0" applyNumberFormat="1" applyFont="1" applyBorder="1"/>
    <xf numFmtId="44" fontId="4" fillId="0" borderId="13" xfId="1" applyFont="1" applyBorder="1"/>
    <xf numFmtId="44" fontId="4" fillId="0" borderId="14" xfId="1" applyFont="1" applyBorder="1"/>
    <xf numFmtId="44" fontId="4" fillId="0" borderId="15" xfId="0" applyNumberFormat="1" applyFont="1" applyBorder="1"/>
    <xf numFmtId="44" fontId="0" fillId="2" borderId="6" xfId="0" applyNumberFormat="1" applyFill="1" applyBorder="1"/>
    <xf numFmtId="44" fontId="2" fillId="3" borderId="21" xfId="0" applyNumberFormat="1" applyFont="1" applyFill="1" applyBorder="1"/>
    <xf numFmtId="44" fontId="2" fillId="3" borderId="22" xfId="0" applyNumberFormat="1" applyFont="1" applyFill="1" applyBorder="1"/>
    <xf numFmtId="44" fontId="0" fillId="0" borderId="6" xfId="1" applyFont="1" applyBorder="1"/>
    <xf numFmtId="44" fontId="0" fillId="0" borderId="6" xfId="1" applyFont="1" applyFill="1" applyBorder="1"/>
    <xf numFmtId="44" fontId="0" fillId="0" borderId="10" xfId="1" applyFont="1" applyBorder="1"/>
    <xf numFmtId="44" fontId="0" fillId="0" borderId="0" xfId="1" applyFont="1" applyBorder="1"/>
    <xf numFmtId="44" fontId="0" fillId="3" borderId="0" xfId="0" applyNumberFormat="1" applyFill="1"/>
    <xf numFmtId="44" fontId="0" fillId="3" borderId="7" xfId="0" applyNumberFormat="1" applyFill="1" applyBorder="1"/>
    <xf numFmtId="44" fontId="0" fillId="3" borderId="10" xfId="0" applyNumberFormat="1" applyFill="1" applyBorder="1"/>
    <xf numFmtId="164" fontId="2" fillId="0" borderId="23" xfId="0" applyNumberFormat="1" applyFont="1" applyBorder="1"/>
    <xf numFmtId="44" fontId="1" fillId="0" borderId="6" xfId="1" applyFont="1" applyBorder="1"/>
    <xf numFmtId="44" fontId="0" fillId="0" borderId="7" xfId="1" applyFont="1" applyBorder="1"/>
    <xf numFmtId="0" fontId="0" fillId="6" borderId="0" xfId="0" applyFill="1"/>
    <xf numFmtId="44" fontId="0" fillId="6" borderId="6" xfId="0" applyNumberFormat="1" applyFill="1" applyBorder="1"/>
    <xf numFmtId="44" fontId="0" fillId="6" borderId="0" xfId="0" applyNumberFormat="1" applyFill="1"/>
    <xf numFmtId="44" fontId="0" fillId="6" borderId="7" xfId="0" applyNumberFormat="1" applyFill="1" applyBorder="1"/>
    <xf numFmtId="44" fontId="0" fillId="6" borderId="10" xfId="0" applyNumberFormat="1" applyFill="1" applyBorder="1"/>
    <xf numFmtId="44" fontId="0" fillId="0" borderId="10" xfId="0" applyNumberFormat="1" applyBorder="1"/>
    <xf numFmtId="44" fontId="0" fillId="0" borderId="10" xfId="1" applyFont="1" applyFill="1" applyBorder="1"/>
    <xf numFmtId="44" fontId="1" fillId="0" borderId="0" xfId="1" applyFont="1" applyBorder="1"/>
    <xf numFmtId="44" fontId="1" fillId="0" borderId="7" xfId="1" applyFont="1" applyBorder="1"/>
    <xf numFmtId="44" fontId="0" fillId="7" borderId="6" xfId="1" applyFont="1" applyFill="1" applyBorder="1"/>
    <xf numFmtId="44" fontId="0" fillId="7" borderId="10" xfId="1" applyFont="1" applyFill="1" applyBorder="1"/>
    <xf numFmtId="44" fontId="0" fillId="8" borderId="6" xfId="1" applyFont="1" applyFill="1" applyBorder="1"/>
    <xf numFmtId="44" fontId="0" fillId="8" borderId="10" xfId="1" applyFont="1" applyFill="1" applyBorder="1"/>
    <xf numFmtId="44" fontId="0" fillId="7" borderId="0" xfId="1" applyFont="1" applyFill="1" applyBorder="1"/>
    <xf numFmtId="44" fontId="0" fillId="7" borderId="6" xfId="0" applyNumberFormat="1" applyFill="1" applyBorder="1"/>
    <xf numFmtId="44" fontId="0" fillId="7" borderId="10" xfId="0" applyNumberFormat="1" applyFill="1" applyBorder="1"/>
    <xf numFmtId="44" fontId="0" fillId="8" borderId="6" xfId="0" applyNumberFormat="1" applyFill="1" applyBorder="1"/>
    <xf numFmtId="44" fontId="0" fillId="8" borderId="10" xfId="0" applyNumberFormat="1" applyFill="1" applyBorder="1"/>
    <xf numFmtId="44" fontId="0" fillId="7" borderId="0" xfId="0" applyNumberFormat="1" applyFill="1"/>
    <xf numFmtId="44" fontId="0" fillId="7" borderId="7" xfId="0" applyNumberFormat="1" applyFill="1" applyBorder="1"/>
    <xf numFmtId="44" fontId="0" fillId="8" borderId="0" xfId="0" applyNumberFormat="1" applyFill="1"/>
    <xf numFmtId="44" fontId="0" fillId="8" borderId="7" xfId="0" applyNumberFormat="1" applyFill="1" applyBorder="1"/>
    <xf numFmtId="44" fontId="2" fillId="3" borderId="24" xfId="0" applyNumberFormat="1" applyFont="1" applyFill="1" applyBorder="1"/>
    <xf numFmtId="44" fontId="2" fillId="3" borderId="25" xfId="0" applyNumberFormat="1" applyFont="1" applyFill="1" applyBorder="1"/>
    <xf numFmtId="44" fontId="2" fillId="3" borderId="26" xfId="0" applyNumberFormat="1" applyFont="1" applyFill="1" applyBorder="1"/>
    <xf numFmtId="44" fontId="2" fillId="3" borderId="27" xfId="0" applyNumberFormat="1" applyFont="1" applyFill="1" applyBorder="1"/>
    <xf numFmtId="44" fontId="8" fillId="0" borderId="28" xfId="0" applyNumberFormat="1" applyFont="1" applyBorder="1"/>
    <xf numFmtId="44" fontId="8" fillId="0" borderId="29" xfId="0" applyNumberFormat="1" applyFont="1" applyBorder="1"/>
    <xf numFmtId="44" fontId="8" fillId="0" borderId="30" xfId="0" applyNumberFormat="1" applyFont="1" applyBorder="1"/>
    <xf numFmtId="44" fontId="8" fillId="0" borderId="31" xfId="0" applyNumberFormat="1" applyFont="1" applyBorder="1"/>
    <xf numFmtId="0" fontId="7" fillId="0" borderId="0" xfId="2" applyAlignment="1">
      <alignment horizontal="center" vertical="top"/>
    </xf>
    <xf numFmtId="0" fontId="7" fillId="0" borderId="7" xfId="2" applyBorder="1" applyAlignment="1">
      <alignment horizontal="center" vertical="top"/>
    </xf>
    <xf numFmtId="44" fontId="0" fillId="0" borderId="16" xfId="1" applyFont="1" applyBorder="1" applyAlignment="1">
      <alignment horizontal="center"/>
    </xf>
    <xf numFmtId="44" fontId="0" fillId="0" borderId="17" xfId="1" applyFont="1" applyBorder="1" applyAlignment="1">
      <alignment horizontal="center"/>
    </xf>
    <xf numFmtId="44" fontId="7" fillId="0" borderId="18" xfId="2" applyNumberFormat="1" applyFill="1" applyBorder="1" applyAlignment="1">
      <alignment horizontal="center"/>
    </xf>
    <xf numFmtId="44" fontId="7" fillId="0" borderId="19" xfId="2" applyNumberFormat="1" applyFill="1" applyBorder="1" applyAlignment="1">
      <alignment horizontal="center"/>
    </xf>
    <xf numFmtId="44" fontId="7" fillId="0" borderId="20" xfId="2" applyNumberFormat="1" applyFill="1" applyBorder="1" applyAlignment="1">
      <alignment horizontal="center"/>
    </xf>
    <xf numFmtId="44" fontId="7" fillId="0" borderId="17" xfId="2" applyNumberFormat="1" applyFill="1" applyBorder="1" applyAlignment="1">
      <alignment horizontal="center"/>
    </xf>
    <xf numFmtId="44" fontId="2" fillId="0" borderId="1" xfId="0" applyNumberFormat="1" applyFont="1" applyBorder="1" applyAlignment="1">
      <alignment horizontal="center" vertical="top" wrapText="1"/>
    </xf>
    <xf numFmtId="44" fontId="2" fillId="0" borderId="2" xfId="0" applyNumberFormat="1" applyFont="1" applyBorder="1" applyAlignment="1">
      <alignment horizontal="center" vertical="top" wrapText="1"/>
    </xf>
    <xf numFmtId="44" fontId="2" fillId="0" borderId="3" xfId="0" applyNumberFormat="1" applyFont="1" applyBorder="1" applyAlignment="1">
      <alignment horizontal="center" vertical="top" wrapText="1"/>
    </xf>
    <xf numFmtId="44" fontId="2" fillId="0" borderId="4" xfId="0" applyNumberFormat="1" applyFont="1" applyBorder="1" applyAlignment="1">
      <alignment horizontal="center" vertical="top" wrapText="1"/>
    </xf>
    <xf numFmtId="44" fontId="2" fillId="0" borderId="5" xfId="0" applyNumberFormat="1" applyFont="1" applyBorder="1" applyAlignment="1">
      <alignment horizontal="center" vertical="top" wrapText="1"/>
    </xf>
    <xf numFmtId="44" fontId="2" fillId="0" borderId="3" xfId="0" applyNumberFormat="1" applyFont="1" applyBorder="1" applyAlignment="1">
      <alignment horizontal="center" vertical="top"/>
    </xf>
    <xf numFmtId="44" fontId="2" fillId="0" borderId="4" xfId="0" applyNumberFormat="1" applyFont="1" applyBorder="1" applyAlignment="1">
      <alignment horizontal="center" vertical="top"/>
    </xf>
    <xf numFmtId="44" fontId="2" fillId="0" borderId="5" xfId="0" applyNumberFormat="1" applyFont="1" applyBorder="1" applyAlignment="1">
      <alignment horizontal="center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vodell_wisc_edu/Documents/Desktop/Upgrade/RebaselineReview/NSF_Rebaseline/CostWorkBooks/Final%20Combined%20Rebaseline%20Cost%20Workbook%20PY5-PY8%20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ngencies"/>
      <sheetName val="Combined Rebaseline Cost Workb"/>
      <sheetName val="PY5 Pivots"/>
      <sheetName val="PY5 1030"/>
      <sheetName val="PY6 Pivots"/>
      <sheetName val="PY6 1030"/>
      <sheetName val="PY7 Pivots"/>
      <sheetName val="PY7 1030"/>
      <sheetName val="PY8 Pivots"/>
      <sheetName val="PY8 1030"/>
    </sheetNames>
    <sheetDataSet>
      <sheetData sheetId="0"/>
      <sheetData sheetId="1"/>
      <sheetData sheetId="2"/>
      <sheetData sheetId="3"/>
      <sheetData sheetId="4">
        <row r="4">
          <cell r="A4" t="str">
            <v>Sum of Salary Cost PY6</v>
          </cell>
        </row>
        <row r="30">
          <cell r="A30" t="str">
            <v>Sum of Fringe Cost PY6</v>
          </cell>
        </row>
      </sheetData>
      <sheetData sheetId="5"/>
      <sheetData sheetId="6">
        <row r="4">
          <cell r="A4" t="str">
            <v>Sum of Salary Cost PY7</v>
          </cell>
        </row>
        <row r="30">
          <cell r="A30" t="str">
            <v>Sum of Fringe Cost PY7</v>
          </cell>
        </row>
      </sheetData>
      <sheetData sheetId="7"/>
      <sheetData sheetId="8">
        <row r="4">
          <cell r="A4" t="str">
            <v>Sum of Salary Cost PY8</v>
          </cell>
        </row>
        <row r="30">
          <cell r="A30" t="str">
            <v>Sum of Fringe Cost PY8</v>
          </cell>
        </row>
        <row r="74">
          <cell r="A74" t="str">
            <v>Sum of 12mo Subtotal PY8</v>
          </cell>
        </row>
        <row r="93">
          <cell r="A93" t="str">
            <v>Sum of Complete Total PY8</v>
          </cell>
        </row>
        <row r="139">
          <cell r="A139" t="str">
            <v>Row Labels</v>
          </cell>
        </row>
        <row r="161">
          <cell r="G161">
            <v>225059.51032200109</v>
          </cell>
          <cell r="H161">
            <v>31811.192092574605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D795-5D44-423C-9B09-4AF8202A8676}">
  <dimension ref="A1:AN88"/>
  <sheetViews>
    <sheetView tabSelected="1" topLeftCell="A79" workbookViewId="0">
      <selection sqref="A1:AN88"/>
    </sheetView>
  </sheetViews>
  <sheetFormatPr defaultRowHeight="15" x14ac:dyDescent="0.25"/>
  <cols>
    <col min="1" max="1" width="27.140625" customWidth="1"/>
    <col min="2" max="2" width="12.5703125" customWidth="1"/>
    <col min="4" max="4" width="15.85546875" customWidth="1"/>
    <col min="5" max="5" width="14.28515625" customWidth="1"/>
    <col min="6" max="6" width="16.28515625" customWidth="1"/>
    <col min="7" max="7" width="14.28515625" customWidth="1"/>
    <col min="8" max="8" width="14.140625" customWidth="1"/>
    <col min="9" max="9" width="14.28515625" customWidth="1"/>
    <col min="10" max="10" width="16.42578125" customWidth="1"/>
    <col min="11" max="11" width="13.140625" customWidth="1"/>
    <col min="12" max="12" width="14.7109375" customWidth="1"/>
    <col min="13" max="13" width="16.28515625" customWidth="1"/>
    <col min="14" max="14" width="13.5703125" customWidth="1"/>
    <col min="15" max="15" width="13.7109375" customWidth="1"/>
    <col min="16" max="16" width="13" customWidth="1"/>
    <col min="17" max="17" width="21.85546875" customWidth="1"/>
    <col min="18" max="18" width="13.85546875" customWidth="1"/>
    <col min="19" max="19" width="13.7109375" customWidth="1"/>
    <col min="22" max="22" width="15.85546875" customWidth="1"/>
    <col min="23" max="23" width="11.5703125" bestFit="1" customWidth="1"/>
    <col min="25" max="25" width="12.5703125" bestFit="1" customWidth="1"/>
    <col min="26" max="26" width="15.85546875" customWidth="1"/>
    <col min="27" max="27" width="15.42578125" customWidth="1"/>
    <col min="28" max="28" width="16.140625" customWidth="1"/>
    <col min="29" max="29" width="14.42578125" customWidth="1"/>
    <col min="30" max="30" width="13.5703125" customWidth="1"/>
    <col min="32" max="32" width="15.7109375" customWidth="1"/>
    <col min="33" max="33" width="17.28515625" customWidth="1"/>
    <col min="34" max="34" width="15.5703125" customWidth="1"/>
    <col min="35" max="35" width="15.28515625" customWidth="1"/>
    <col min="36" max="36" width="15.7109375" customWidth="1"/>
    <col min="37" max="37" width="14.85546875" customWidth="1"/>
    <col min="39" max="39" width="12.7109375" customWidth="1"/>
    <col min="40" max="40" width="14.7109375" customWidth="1"/>
  </cols>
  <sheetData>
    <row r="1" spans="1:40" ht="15.75" thickBot="1" x14ac:dyDescent="0.3">
      <c r="B1" t="s">
        <v>129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" customHeight="1" x14ac:dyDescent="0.25">
      <c r="D2" s="1"/>
      <c r="E2" s="106" t="s">
        <v>0</v>
      </c>
      <c r="F2" s="106"/>
      <c r="G2" s="106"/>
      <c r="H2" s="106"/>
      <c r="I2" s="106"/>
      <c r="J2" s="107" t="s">
        <v>1</v>
      </c>
      <c r="K2" s="107"/>
      <c r="L2" s="107"/>
      <c r="M2" s="107"/>
      <c r="N2" s="107"/>
      <c r="O2" s="107"/>
      <c r="P2" s="107"/>
      <c r="Q2" s="107"/>
      <c r="R2" s="107"/>
      <c r="S2" s="107"/>
      <c r="T2" s="108" t="s">
        <v>2</v>
      </c>
      <c r="U2" s="109"/>
      <c r="V2" s="109"/>
      <c r="W2" s="109"/>
      <c r="X2" s="110"/>
      <c r="Y2" s="109" t="s">
        <v>3</v>
      </c>
      <c r="Z2" s="109"/>
      <c r="AA2" s="109"/>
      <c r="AB2" s="109"/>
      <c r="AC2" s="109"/>
      <c r="AD2" s="109"/>
      <c r="AE2" s="111" t="s">
        <v>4</v>
      </c>
      <c r="AF2" s="112"/>
      <c r="AG2" s="112"/>
      <c r="AH2" s="113"/>
      <c r="AI2" s="111" t="s">
        <v>5</v>
      </c>
      <c r="AJ2" s="112"/>
      <c r="AK2" s="112"/>
      <c r="AL2" s="112"/>
      <c r="AM2" s="112"/>
      <c r="AN2" s="113"/>
    </row>
    <row r="3" spans="1:40" ht="75.75" thickBot="1" x14ac:dyDescent="0.3">
      <c r="D3" s="1"/>
      <c r="E3" s="2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5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7" t="s">
        <v>20</v>
      </c>
      <c r="T3" s="8" t="s">
        <v>21</v>
      </c>
      <c r="U3" s="9" t="s">
        <v>22</v>
      </c>
      <c r="V3" s="9" t="s">
        <v>23</v>
      </c>
      <c r="W3" s="9" t="s">
        <v>24</v>
      </c>
      <c r="X3" s="10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5" t="s">
        <v>32</v>
      </c>
      <c r="AF3" s="6" t="s">
        <v>33</v>
      </c>
      <c r="AG3" s="6" t="s">
        <v>34</v>
      </c>
      <c r="AH3" s="7" t="s">
        <v>35</v>
      </c>
      <c r="AI3" s="5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7" t="s">
        <v>41</v>
      </c>
    </row>
    <row r="4" spans="1:40" x14ac:dyDescent="0.25">
      <c r="A4" s="11" t="s">
        <v>42</v>
      </c>
      <c r="B4" s="11"/>
      <c r="C4" s="11"/>
      <c r="D4" s="12" t="s">
        <v>130</v>
      </c>
      <c r="E4" s="13"/>
      <c r="F4" s="1"/>
      <c r="G4" s="1"/>
      <c r="H4" s="1"/>
      <c r="I4" s="14"/>
      <c r="J4" s="13"/>
      <c r="K4" s="1"/>
      <c r="L4" s="1"/>
      <c r="M4" s="1"/>
      <c r="N4" s="1"/>
      <c r="O4" s="1"/>
      <c r="P4" s="1"/>
      <c r="Q4" s="1"/>
      <c r="R4" s="1"/>
      <c r="S4" s="14"/>
      <c r="T4" s="13"/>
      <c r="U4" s="1"/>
      <c r="V4" s="1"/>
      <c r="W4" s="1"/>
      <c r="X4" s="14"/>
      <c r="Y4" s="1"/>
      <c r="Z4" s="1"/>
      <c r="AA4" s="1"/>
      <c r="AB4" s="1"/>
      <c r="AC4" s="1"/>
      <c r="AD4" s="1"/>
      <c r="AE4" s="13"/>
      <c r="AF4" s="1"/>
      <c r="AG4" s="1"/>
      <c r="AH4" s="14"/>
      <c r="AI4" s="13"/>
      <c r="AJ4" s="1"/>
      <c r="AK4" s="1"/>
      <c r="AL4" s="1"/>
      <c r="AM4" s="1"/>
      <c r="AN4" s="14"/>
    </row>
    <row r="5" spans="1:40" x14ac:dyDescent="0.25">
      <c r="A5" s="15" t="s">
        <v>43</v>
      </c>
      <c r="B5" s="16" t="s">
        <v>44</v>
      </c>
      <c r="C5" s="15"/>
      <c r="D5" s="17"/>
      <c r="E5" s="18"/>
      <c r="F5" s="19"/>
      <c r="G5" s="19"/>
      <c r="H5" s="19"/>
      <c r="I5" s="20"/>
      <c r="J5" s="18"/>
      <c r="K5" s="19"/>
      <c r="L5" s="19"/>
      <c r="M5" s="19"/>
      <c r="N5" s="19"/>
      <c r="O5" s="19"/>
      <c r="P5" s="19"/>
      <c r="Q5" s="19"/>
      <c r="R5" s="19"/>
      <c r="S5" s="20"/>
      <c r="T5" s="18"/>
      <c r="U5" s="19"/>
      <c r="V5" s="19"/>
      <c r="W5" s="19"/>
      <c r="X5" s="20"/>
      <c r="Y5" s="19"/>
      <c r="Z5" s="19"/>
      <c r="AA5" s="19"/>
      <c r="AB5" s="19"/>
      <c r="AC5" s="19"/>
      <c r="AD5" s="19"/>
      <c r="AE5" s="18"/>
      <c r="AF5" s="19"/>
      <c r="AG5" s="19"/>
      <c r="AH5" s="20"/>
      <c r="AI5" s="18"/>
      <c r="AJ5" s="19"/>
      <c r="AK5" s="19"/>
      <c r="AL5" s="19"/>
      <c r="AM5" s="19"/>
      <c r="AN5" s="20"/>
    </row>
    <row r="6" spans="1:40" x14ac:dyDescent="0.25">
      <c r="A6" s="21" t="s">
        <v>45</v>
      </c>
      <c r="B6" s="21" t="s">
        <v>46</v>
      </c>
      <c r="C6" s="21" t="s">
        <v>47</v>
      </c>
      <c r="D6" s="22"/>
      <c r="E6" s="23"/>
      <c r="F6" s="24"/>
      <c r="G6" s="24"/>
      <c r="H6" s="24"/>
      <c r="I6" s="25"/>
      <c r="J6" s="23"/>
      <c r="K6" s="24"/>
      <c r="L6" s="24"/>
      <c r="M6" s="24"/>
      <c r="N6" s="24"/>
      <c r="O6" s="24"/>
      <c r="P6" s="24"/>
      <c r="Q6" s="24"/>
      <c r="R6" s="24"/>
      <c r="S6" s="25"/>
      <c r="T6" s="23"/>
      <c r="U6" s="24"/>
      <c r="V6" s="24"/>
      <c r="W6" s="24"/>
      <c r="X6" s="25"/>
      <c r="Y6" s="24"/>
      <c r="Z6" s="24"/>
      <c r="AA6" s="24"/>
      <c r="AB6" s="24"/>
      <c r="AC6" s="24"/>
      <c r="AD6" s="24"/>
      <c r="AE6" s="26"/>
      <c r="AF6" s="25"/>
      <c r="AG6" s="25"/>
      <c r="AH6" s="25"/>
      <c r="AI6" s="26"/>
      <c r="AJ6" s="25"/>
      <c r="AK6" s="25"/>
      <c r="AL6" s="25"/>
      <c r="AM6" s="25"/>
      <c r="AN6" s="25"/>
    </row>
    <row r="7" spans="1:40" x14ac:dyDescent="0.25">
      <c r="A7" s="27" t="s">
        <v>48</v>
      </c>
      <c r="B7" s="27" t="s">
        <v>49</v>
      </c>
      <c r="C7" s="28">
        <f>GETPIVOTDATA("PY8 CMo",'[1]PY8 Pivots'!$A$139,"Resource Name","Hanson")</f>
        <v>0.64</v>
      </c>
      <c r="D7" s="22">
        <f t="shared" ref="D7:D9" si="0">SUM(E7:AN7)</f>
        <v>13170.28769894956</v>
      </c>
      <c r="E7" s="23">
        <f>GETPIVOTDATA("Salary Cost PY8",'[1]PY8 Pivots'!$A$4,"Resource Name","Hanson","L3","1.1.1")</f>
        <v>13170.28769894956</v>
      </c>
      <c r="F7" s="29">
        <v>0</v>
      </c>
      <c r="G7" s="29">
        <v>0</v>
      </c>
      <c r="H7" s="29">
        <v>0</v>
      </c>
      <c r="I7" s="30">
        <v>0</v>
      </c>
      <c r="J7" s="31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30">
        <v>0</v>
      </c>
      <c r="T7" s="31">
        <v>0</v>
      </c>
      <c r="U7" s="31">
        <v>0</v>
      </c>
      <c r="V7" s="31">
        <v>0</v>
      </c>
      <c r="W7" s="31">
        <v>0</v>
      </c>
      <c r="X7" s="32">
        <v>0</v>
      </c>
      <c r="Y7" s="29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2">
        <v>0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2">
        <v>0</v>
      </c>
    </row>
    <row r="8" spans="1:40" x14ac:dyDescent="0.25">
      <c r="A8" s="27" t="s">
        <v>50</v>
      </c>
      <c r="B8" s="27" t="s">
        <v>51</v>
      </c>
      <c r="C8" s="28">
        <f>GETPIVOTDATA("PY8 CMo",'[1]PY8 Pivots'!$A$139,"Resource Name","Feyzi")</f>
        <v>2.833333333333333</v>
      </c>
      <c r="D8" s="22">
        <f t="shared" si="0"/>
        <v>45349.080907841366</v>
      </c>
      <c r="E8" s="23">
        <f>GETPIVOTDATA("Salary Cost PY8",'[1]PY8 Pivots'!$A$4,"Resource Name","Feyzi","L3","1.1.1")</f>
        <v>45349.080907841366</v>
      </c>
      <c r="F8" s="29">
        <v>0</v>
      </c>
      <c r="G8" s="29">
        <v>0</v>
      </c>
      <c r="H8" s="29">
        <v>0</v>
      </c>
      <c r="I8" s="30">
        <v>0</v>
      </c>
      <c r="J8" s="31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30">
        <v>0</v>
      </c>
      <c r="T8" s="31">
        <v>0</v>
      </c>
      <c r="U8" s="31">
        <v>0</v>
      </c>
      <c r="V8" s="31">
        <v>0</v>
      </c>
      <c r="W8" s="31">
        <v>0</v>
      </c>
      <c r="X8" s="32">
        <v>0</v>
      </c>
      <c r="Y8" s="29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2">
        <v>0</v>
      </c>
      <c r="AI8" s="31">
        <v>0</v>
      </c>
      <c r="AJ8" s="31">
        <v>0</v>
      </c>
      <c r="AK8" s="31">
        <v>0</v>
      </c>
      <c r="AL8" s="31">
        <v>0</v>
      </c>
      <c r="AM8" s="31">
        <v>0</v>
      </c>
      <c r="AN8" s="32">
        <v>0</v>
      </c>
    </row>
    <row r="9" spans="1:40" x14ac:dyDescent="0.25">
      <c r="A9" s="27" t="s">
        <v>52</v>
      </c>
      <c r="B9" s="27" t="s">
        <v>53</v>
      </c>
      <c r="C9" s="28">
        <f>GETPIVOTDATA("PY8 CMo",'[1]PY8 Pivots'!$A$139,"Resource Name","ODell")</f>
        <v>1.6</v>
      </c>
      <c r="D9" s="22">
        <f t="shared" si="0"/>
        <v>29319.569044090094</v>
      </c>
      <c r="E9" s="24">
        <f>GETPIVOTDATA("Salary Cost PY8",'[1]PY8 Pivots'!$A$4,"Resource Name","ODell","L3","1.1.1")</f>
        <v>29319.569044090094</v>
      </c>
      <c r="F9" s="29"/>
      <c r="G9" s="29"/>
      <c r="H9" s="29"/>
      <c r="I9" s="30"/>
      <c r="J9" s="31"/>
      <c r="K9" s="29"/>
      <c r="L9" s="29"/>
      <c r="M9" s="29"/>
      <c r="N9" s="29"/>
      <c r="O9" s="29"/>
      <c r="P9" s="29"/>
      <c r="Q9" s="29"/>
      <c r="R9" s="29"/>
      <c r="S9" s="30"/>
      <c r="T9" s="31"/>
      <c r="U9" s="31"/>
      <c r="V9" s="31"/>
      <c r="W9" s="31"/>
      <c r="X9" s="32"/>
      <c r="Y9" s="29"/>
      <c r="Z9" s="31"/>
      <c r="AA9" s="31"/>
      <c r="AB9" s="31"/>
      <c r="AC9" s="31"/>
      <c r="AD9" s="31"/>
      <c r="AE9" s="31"/>
      <c r="AF9" s="31"/>
      <c r="AG9" s="31"/>
      <c r="AH9" s="32"/>
      <c r="AI9" s="31"/>
      <c r="AJ9" s="31"/>
      <c r="AK9" s="31"/>
      <c r="AL9" s="31"/>
      <c r="AM9" s="31"/>
      <c r="AN9" s="32"/>
    </row>
    <row r="10" spans="1:40" x14ac:dyDescent="0.25">
      <c r="C10" s="33" t="s">
        <v>44</v>
      </c>
      <c r="D10" s="34">
        <v>0</v>
      </c>
      <c r="E10" s="35">
        <v>0</v>
      </c>
      <c r="F10" s="29">
        <v>0</v>
      </c>
      <c r="G10" s="29">
        <v>0</v>
      </c>
      <c r="H10" s="29">
        <v>0</v>
      </c>
      <c r="I10" s="30">
        <v>0</v>
      </c>
      <c r="J10" s="31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30">
        <v>0</v>
      </c>
      <c r="T10" s="31">
        <v>0</v>
      </c>
      <c r="U10" s="31">
        <v>0</v>
      </c>
      <c r="V10" s="31">
        <v>0</v>
      </c>
      <c r="W10" s="31">
        <v>0</v>
      </c>
      <c r="X10" s="32">
        <v>0</v>
      </c>
      <c r="Y10" s="29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2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2">
        <v>0</v>
      </c>
    </row>
    <row r="11" spans="1:40" x14ac:dyDescent="0.25">
      <c r="A11" s="11" t="s">
        <v>54</v>
      </c>
      <c r="C11" s="33" t="s">
        <v>44</v>
      </c>
      <c r="D11" s="34">
        <v>0</v>
      </c>
      <c r="E11" s="35">
        <v>0</v>
      </c>
      <c r="F11" s="29">
        <v>0</v>
      </c>
      <c r="G11" s="29">
        <v>0</v>
      </c>
      <c r="H11" s="29">
        <v>0</v>
      </c>
      <c r="I11" s="30">
        <v>0</v>
      </c>
      <c r="J11" s="31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30">
        <v>0</v>
      </c>
      <c r="T11" s="31">
        <v>0</v>
      </c>
      <c r="U11" s="31">
        <v>0</v>
      </c>
      <c r="V11" s="31">
        <v>0</v>
      </c>
      <c r="W11" s="31">
        <v>0</v>
      </c>
      <c r="X11" s="32">
        <v>0</v>
      </c>
      <c r="Y11" s="29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2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2">
        <v>0</v>
      </c>
    </row>
    <row r="12" spans="1:40" x14ac:dyDescent="0.25">
      <c r="A12" t="s">
        <v>55</v>
      </c>
      <c r="B12" t="s">
        <v>56</v>
      </c>
      <c r="C12" s="28">
        <f>GETPIVOTDATA("PY8 CMo",'[1]PY8 Pivots'!$A$139,"Resource Name","Finance")</f>
        <v>3.2</v>
      </c>
      <c r="D12" s="22">
        <f t="shared" ref="D12:D26" si="1">SUM(E12:AN12)</f>
        <v>23518.370890981358</v>
      </c>
      <c r="E12" s="23">
        <v>0</v>
      </c>
      <c r="F12" s="36">
        <f>GETPIVOTDATA("Salary Cost PY8",'[1]PY8 Pivots'!$A$4,"Resource Name","Finance","L3","1.1.2")</f>
        <v>23518.370890981358</v>
      </c>
      <c r="G12" s="29">
        <v>0</v>
      </c>
      <c r="H12" s="29">
        <v>0</v>
      </c>
      <c r="I12" s="30">
        <v>0</v>
      </c>
      <c r="J12" s="31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4">
        <v>0</v>
      </c>
      <c r="R12" s="29">
        <v>0</v>
      </c>
      <c r="S12" s="30">
        <v>0</v>
      </c>
      <c r="T12" s="31">
        <v>0</v>
      </c>
      <c r="U12" s="31">
        <v>0</v>
      </c>
      <c r="V12" s="31">
        <v>0</v>
      </c>
      <c r="W12" s="31">
        <v>0</v>
      </c>
      <c r="X12" s="32">
        <v>0</v>
      </c>
      <c r="Y12" s="29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  <c r="AH12" s="32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2">
        <v>0</v>
      </c>
    </row>
    <row r="13" spans="1:40" x14ac:dyDescent="0.25">
      <c r="A13" t="s">
        <v>57</v>
      </c>
      <c r="B13" t="s">
        <v>58</v>
      </c>
      <c r="C13" s="28">
        <f>GETPIVOTDATA("PY8 CMo",'[1]PY8 Pivots'!$A$139,"Resource Name","Controls")</f>
        <v>4</v>
      </c>
      <c r="D13" s="22">
        <f t="shared" si="1"/>
        <v>30051.251694031736</v>
      </c>
      <c r="E13" s="23">
        <v>0</v>
      </c>
      <c r="F13" s="24">
        <f>GETPIVOTDATA("Salary Cost PY8",'[1]PY8 Pivots'!$A$4,"Resource Name","Controls","L3","1.1.2")</f>
        <v>30051.251694031736</v>
      </c>
      <c r="G13" s="29">
        <v>0</v>
      </c>
      <c r="H13" s="29">
        <v>0</v>
      </c>
      <c r="I13" s="30">
        <v>0</v>
      </c>
      <c r="J13" s="31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4">
        <v>0</v>
      </c>
      <c r="R13" s="29">
        <v>0</v>
      </c>
      <c r="S13" s="30">
        <v>0</v>
      </c>
      <c r="T13" s="31">
        <v>0</v>
      </c>
      <c r="U13" s="31">
        <v>0</v>
      </c>
      <c r="V13" s="31">
        <v>0</v>
      </c>
      <c r="W13" s="31">
        <v>0</v>
      </c>
      <c r="X13" s="32">
        <v>0</v>
      </c>
      <c r="Y13" s="29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2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2">
        <v>0</v>
      </c>
    </row>
    <row r="14" spans="1:40" x14ac:dyDescent="0.25">
      <c r="A14" t="s">
        <v>59</v>
      </c>
      <c r="B14" t="s">
        <v>60</v>
      </c>
      <c r="C14" s="28">
        <f>GETPIVOTDATA("PY8 CMo",'[1]PY8 Pivots'!$A$139,"Resource Name","Zernick")</f>
        <v>6.0133333333333336</v>
      </c>
      <c r="D14" s="22">
        <f t="shared" si="1"/>
        <v>41409.027907957221</v>
      </c>
      <c r="E14" s="23">
        <v>0</v>
      </c>
      <c r="F14" s="29">
        <v>0</v>
      </c>
      <c r="G14" s="29">
        <f>GETPIVOTDATA("Salary Cost PY8",'[1]PY8 Pivots'!$A$4,"Resource Name","Zernick","L3","1.1.3")</f>
        <v>15010.382458475417</v>
      </c>
      <c r="H14" s="29">
        <v>0</v>
      </c>
      <c r="I14" s="30">
        <v>0</v>
      </c>
      <c r="J14" s="31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f>GETPIVOTDATA("Salary Cost PY8",'[1]PY8 Pivots'!$A$4,"Resource Name","Zernick","L3","1.2.8")</f>
        <v>26398.645449481806</v>
      </c>
      <c r="R14" s="29">
        <v>0</v>
      </c>
      <c r="S14" s="30">
        <v>0</v>
      </c>
      <c r="T14" s="31">
        <v>0</v>
      </c>
      <c r="U14" s="31">
        <v>0</v>
      </c>
      <c r="V14" s="31">
        <v>0</v>
      </c>
      <c r="W14" s="31">
        <v>0</v>
      </c>
      <c r="X14" s="32">
        <v>0</v>
      </c>
      <c r="Y14" s="29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2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2">
        <v>0</v>
      </c>
    </row>
    <row r="15" spans="1:40" x14ac:dyDescent="0.25">
      <c r="A15" t="s">
        <v>61</v>
      </c>
      <c r="B15" t="s">
        <v>62</v>
      </c>
      <c r="C15" s="28">
        <f>GETPIVOTDATA("PY8 CMo",'[1]PY8 Pivots'!$A$139,"Resource Name","DuVernois")</f>
        <v>1</v>
      </c>
      <c r="D15" s="22">
        <f t="shared" si="1"/>
        <v>12085.829485643198</v>
      </c>
      <c r="E15" s="23">
        <v>0</v>
      </c>
      <c r="F15" s="29">
        <v>0</v>
      </c>
      <c r="G15" s="29">
        <v>0</v>
      </c>
      <c r="H15" s="29">
        <v>0</v>
      </c>
      <c r="I15" s="30">
        <f>GETPIVOTDATA("Salary Cost PY8",'[1]PY8 Pivots'!$A$4,"Resource Name","DuVernois","L3","1.1.5")</f>
        <v>12085.829485643198</v>
      </c>
      <c r="J15" s="31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4">
        <v>0</v>
      </c>
      <c r="R15" s="29">
        <v>0</v>
      </c>
      <c r="S15" s="30">
        <v>0</v>
      </c>
      <c r="T15" s="31">
        <v>0</v>
      </c>
      <c r="U15" s="31">
        <v>0</v>
      </c>
      <c r="V15" s="31">
        <v>0</v>
      </c>
      <c r="W15" s="31">
        <v>0</v>
      </c>
      <c r="X15" s="32">
        <v>0</v>
      </c>
      <c r="Y15" s="29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2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2">
        <v>0</v>
      </c>
    </row>
    <row r="16" spans="1:40" x14ac:dyDescent="0.25">
      <c r="A16" t="s">
        <v>63</v>
      </c>
      <c r="B16" t="s">
        <v>64</v>
      </c>
      <c r="C16" s="28">
        <f>GETPIVOTDATA("PY8 CMo",'[1]PY8 Pivots'!$A$139,"Resource Name","Sandstrom")</f>
        <v>0</v>
      </c>
      <c r="D16" s="22">
        <f t="shared" si="1"/>
        <v>0</v>
      </c>
      <c r="E16" s="23">
        <v>0</v>
      </c>
      <c r="F16" s="29">
        <v>0</v>
      </c>
      <c r="G16" s="29">
        <v>0</v>
      </c>
      <c r="H16" s="29">
        <v>0</v>
      </c>
      <c r="I16" s="24">
        <f>GETPIVOTDATA("Salary Cost PY8",'[1]PY8 Pivots'!$A$4,"Resource Name","Sandstrom","L3","1.1.5")</f>
        <v>0</v>
      </c>
      <c r="J16" s="31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4">
        <v>0</v>
      </c>
      <c r="R16" s="29">
        <v>0</v>
      </c>
      <c r="S16" s="30">
        <v>0</v>
      </c>
      <c r="T16" s="31">
        <v>0</v>
      </c>
      <c r="U16" s="31">
        <v>0</v>
      </c>
      <c r="V16" s="31">
        <v>0</v>
      </c>
      <c r="W16" s="31">
        <v>0</v>
      </c>
      <c r="X16" s="32">
        <v>0</v>
      </c>
      <c r="Y16" s="29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2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2">
        <v>0</v>
      </c>
    </row>
    <row r="17" spans="1:40" x14ac:dyDescent="0.25">
      <c r="A17" t="s">
        <v>65</v>
      </c>
      <c r="B17" t="s">
        <v>66</v>
      </c>
      <c r="C17" s="28">
        <f>GETPIVOTDATA("PY8 CMo",'[1]PY8 Pivots'!$A$139,"Resource Name","Tosi")</f>
        <v>4.5333333333333332</v>
      </c>
      <c r="D17" s="22">
        <f>SUM(E17:AN17)</f>
        <v>25065.072298544561</v>
      </c>
      <c r="E17" s="23">
        <v>0</v>
      </c>
      <c r="F17" s="29">
        <v>0</v>
      </c>
      <c r="G17" s="29">
        <v>0</v>
      </c>
      <c r="H17" s="29">
        <f>GETPIVOTDATA("Salary Cost PY8",'[1]PY8 Pivots'!$A$4,"Resource Name","Tosi","L3","1.1.4")</f>
        <v>1381.7042898451548</v>
      </c>
      <c r="I17" s="30">
        <v>0</v>
      </c>
      <c r="J17" s="24">
        <f>GETPIVOTDATA("Salary Cost PY8",'[1]PY8 Pivots'!$A$4,"Resource Name","Tosi","L3","1.2.1")</f>
        <v>5378.7385278448101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9">
        <v>0</v>
      </c>
      <c r="S17" s="24">
        <f>GETPIVOTDATA("Salary Cost PY8",'[1]PY8 Pivots'!$A$4,"Resource Name","Tosi","L3","1.2.10")</f>
        <v>18304.629480854597</v>
      </c>
      <c r="T17" s="31">
        <v>0</v>
      </c>
      <c r="U17" s="31">
        <v>0</v>
      </c>
      <c r="V17" s="31">
        <v>0</v>
      </c>
      <c r="W17" s="31">
        <v>0</v>
      </c>
      <c r="X17" s="32">
        <v>0</v>
      </c>
      <c r="Y17" s="29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2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2">
        <v>0</v>
      </c>
    </row>
    <row r="18" spans="1:40" x14ac:dyDescent="0.25">
      <c r="A18" t="s">
        <v>67</v>
      </c>
      <c r="B18" t="s">
        <v>68</v>
      </c>
      <c r="C18" s="28">
        <f>GETPIVOTDATA("PY8 CMo",'[1]PY8 Pivots'!$A$139,"Resource Name","McEwen")</f>
        <v>7</v>
      </c>
      <c r="D18" s="22">
        <f t="shared" si="1"/>
        <v>69738.502572562778</v>
      </c>
      <c r="E18" s="23">
        <v>0</v>
      </c>
      <c r="F18" s="29">
        <v>0</v>
      </c>
      <c r="G18" s="29">
        <v>0</v>
      </c>
      <c r="H18" s="29">
        <v>0</v>
      </c>
      <c r="I18" s="30">
        <v>0</v>
      </c>
      <c r="J18" s="31">
        <f>GETPIVOTDATA("Salary Cost PY8",'[1]PY8 Pivots'!$A$4,"Resource Name","McEwen","L3","1.2.1")</f>
        <v>69738.502572562778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9">
        <v>0</v>
      </c>
      <c r="S18" s="30">
        <v>0</v>
      </c>
      <c r="T18" s="31">
        <v>0</v>
      </c>
      <c r="U18" s="31">
        <v>0</v>
      </c>
      <c r="V18" s="31">
        <v>0</v>
      </c>
      <c r="W18" s="31">
        <v>0</v>
      </c>
      <c r="X18" s="32">
        <v>0</v>
      </c>
      <c r="Y18" s="29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2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2">
        <v>0</v>
      </c>
    </row>
    <row r="19" spans="1:40" x14ac:dyDescent="0.25">
      <c r="A19" t="s">
        <v>69</v>
      </c>
      <c r="B19" t="s">
        <v>70</v>
      </c>
      <c r="C19" s="28">
        <f>GETPIVOTDATA("PY8 CMo",'[1]PY8 Pivots'!$A$139,"Resource Name","Wendt")</f>
        <v>0</v>
      </c>
      <c r="D19" s="22">
        <f t="shared" si="1"/>
        <v>0</v>
      </c>
      <c r="E19" s="23">
        <v>0</v>
      </c>
      <c r="F19" s="29">
        <v>0</v>
      </c>
      <c r="G19" s="29">
        <v>0</v>
      </c>
      <c r="H19" s="29">
        <v>0</v>
      </c>
      <c r="I19" s="30">
        <v>0</v>
      </c>
      <c r="J19" s="31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9">
        <v>0</v>
      </c>
      <c r="S19" s="30">
        <v>0</v>
      </c>
      <c r="T19" s="31">
        <v>0</v>
      </c>
      <c r="U19" s="31">
        <v>0</v>
      </c>
      <c r="V19" s="31">
        <v>0</v>
      </c>
      <c r="W19" s="31">
        <v>0</v>
      </c>
      <c r="X19" s="32">
        <v>0</v>
      </c>
      <c r="Y19" s="29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f>GETPIVOTDATA("Salary Cost PY7",'[1]PY7 Pivots'!$A$4,"Resource Name","Wendt","L3","1.5.2")</f>
        <v>0</v>
      </c>
      <c r="AG19" s="31">
        <v>0</v>
      </c>
      <c r="AH19" s="32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2">
        <v>0</v>
      </c>
    </row>
    <row r="20" spans="1:40" x14ac:dyDescent="0.25">
      <c r="A20" t="s">
        <v>69</v>
      </c>
      <c r="B20" t="s">
        <v>71</v>
      </c>
      <c r="C20" s="28">
        <f>GETPIVOTDATA("PY8 CMo",'[1]PY8 Pivots'!$A$139,"Resource Name","Weber")</f>
        <v>3.833333333333333</v>
      </c>
      <c r="D20" s="22">
        <f t="shared" si="1"/>
        <v>40537.886399761555</v>
      </c>
      <c r="E20" s="23">
        <v>0</v>
      </c>
      <c r="F20" s="29">
        <v>0</v>
      </c>
      <c r="G20" s="29">
        <v>0</v>
      </c>
      <c r="H20" s="29">
        <v>0</v>
      </c>
      <c r="I20" s="30">
        <v>0</v>
      </c>
      <c r="J20" s="31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9">
        <v>0</v>
      </c>
      <c r="S20" s="30">
        <v>0</v>
      </c>
      <c r="T20" s="31">
        <v>0</v>
      </c>
      <c r="U20" s="31">
        <v>0</v>
      </c>
      <c r="V20" s="31">
        <v>0</v>
      </c>
      <c r="W20" s="31">
        <v>0</v>
      </c>
      <c r="X20" s="32">
        <v>0</v>
      </c>
      <c r="Y20" s="29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2">
        <v>0</v>
      </c>
      <c r="AI20" s="31">
        <v>0</v>
      </c>
      <c r="AJ20" s="31">
        <f>GETPIVOTDATA("Salary Cost PY8",'[1]PY8 Pivots'!$A$4,"Resource Name","Weber","L3","1.6.1")</f>
        <v>40537.886399761555</v>
      </c>
      <c r="AK20" s="31">
        <v>0</v>
      </c>
      <c r="AL20" s="31">
        <v>0</v>
      </c>
      <c r="AM20" s="31">
        <v>0</v>
      </c>
      <c r="AN20" s="32">
        <v>0</v>
      </c>
    </row>
    <row r="21" spans="1:40" x14ac:dyDescent="0.25">
      <c r="A21" t="s">
        <v>72</v>
      </c>
      <c r="B21" t="s">
        <v>73</v>
      </c>
      <c r="C21" s="28">
        <f>GETPIVOTDATA("PY8 CMo",'[1]PY8 Pivots'!$A$139,"Resource Name","Kelley")</f>
        <v>1</v>
      </c>
      <c r="D21" s="22">
        <f t="shared" si="1"/>
        <v>9038.2405910201978</v>
      </c>
      <c r="E21" s="23">
        <v>0</v>
      </c>
      <c r="F21" s="29">
        <v>0</v>
      </c>
      <c r="G21" s="29">
        <v>0</v>
      </c>
      <c r="H21" s="29">
        <v>0</v>
      </c>
      <c r="I21" s="30">
        <v>0</v>
      </c>
      <c r="J21" s="31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9">
        <v>0</v>
      </c>
      <c r="S21" s="30">
        <v>0</v>
      </c>
      <c r="T21" s="31">
        <v>0</v>
      </c>
      <c r="U21" s="31">
        <v>0</v>
      </c>
      <c r="V21" s="31">
        <v>0</v>
      </c>
      <c r="W21" s="31">
        <v>0</v>
      </c>
      <c r="X21" s="32">
        <v>0</v>
      </c>
      <c r="Y21" s="29">
        <v>0</v>
      </c>
      <c r="Z21" s="31">
        <f>GETPIVOTDATA("Salary Cost PY7",'[1]PY7 Pivots'!$A$4,"Resource Name","Kelley","L3","1.4.2")</f>
        <v>0</v>
      </c>
      <c r="AA21" s="31">
        <v>0</v>
      </c>
      <c r="AB21" s="31">
        <f>GETPIVOTDATA("Salary Cost PY8",'[1]PY8 Pivots'!$A$4,"Resource Name","Kelley","L3","1.4.4")</f>
        <v>9038.2405910201978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2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2">
        <v>0</v>
      </c>
    </row>
    <row r="22" spans="1:40" x14ac:dyDescent="0.25">
      <c r="A22" t="s">
        <v>72</v>
      </c>
      <c r="B22" t="s">
        <v>74</v>
      </c>
      <c r="C22" s="28">
        <f>GETPIVOTDATA("PY8 CMo",'[1]PY8 Pivots'!$A$139,"Resource Name","Braun")</f>
        <v>0.32</v>
      </c>
      <c r="D22" s="22">
        <f t="shared" si="1"/>
        <v>2822.204506917763</v>
      </c>
      <c r="E22" s="23">
        <v>0</v>
      </c>
      <c r="F22" s="29">
        <v>0</v>
      </c>
      <c r="G22" s="29">
        <v>0</v>
      </c>
      <c r="H22" s="29">
        <v>0</v>
      </c>
      <c r="I22" s="30">
        <v>0</v>
      </c>
      <c r="J22" s="31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9">
        <v>0</v>
      </c>
      <c r="S22" s="30">
        <v>0</v>
      </c>
      <c r="T22" s="31">
        <v>0</v>
      </c>
      <c r="U22" s="31">
        <v>0</v>
      </c>
      <c r="V22" s="31">
        <v>0</v>
      </c>
      <c r="W22" s="31">
        <v>0</v>
      </c>
      <c r="X22" s="32">
        <v>0</v>
      </c>
      <c r="Y22" s="29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2">
        <v>0</v>
      </c>
      <c r="AI22" s="31">
        <v>0</v>
      </c>
      <c r="AJ22" s="31">
        <f>GETPIVOTDATA("Salary Cost PY8",'[1]PY8 Pivots'!$A$4,"Resource Name","Braun","L3","1.6.1")</f>
        <v>2822.204506917763</v>
      </c>
      <c r="AK22" s="31">
        <v>0</v>
      </c>
      <c r="AL22" s="31">
        <v>0</v>
      </c>
      <c r="AM22" s="31">
        <v>0</v>
      </c>
      <c r="AN22" s="32">
        <v>0</v>
      </c>
    </row>
    <row r="23" spans="1:40" x14ac:dyDescent="0.25">
      <c r="A23" t="s">
        <v>72</v>
      </c>
      <c r="B23" t="s">
        <v>75</v>
      </c>
      <c r="C23" s="28">
        <f>GETPIVOTDATA("PY8 CMo",'[1]PY8 Pivots'!$A$139,"Resource Name","Auer")</f>
        <v>0.32</v>
      </c>
      <c r="D23" s="22">
        <f t="shared" si="1"/>
        <v>3135.782785464181</v>
      </c>
      <c r="E23" s="23">
        <v>0</v>
      </c>
      <c r="F23" s="29">
        <v>0</v>
      </c>
      <c r="G23" s="29">
        <v>0</v>
      </c>
      <c r="H23" s="29">
        <v>0</v>
      </c>
      <c r="I23" s="30">
        <v>0</v>
      </c>
      <c r="J23" s="31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5">
        <v>0</v>
      </c>
      <c r="T23" s="31">
        <v>0</v>
      </c>
      <c r="U23" s="31">
        <v>0</v>
      </c>
      <c r="V23" s="31">
        <v>0</v>
      </c>
      <c r="W23" s="31">
        <v>0</v>
      </c>
      <c r="X23" s="32">
        <v>0</v>
      </c>
      <c r="Y23" s="29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2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f>GETPIVOTDATA("Salary Cost PY8",'[1]PY8 Pivots'!$A$4,"Resource Name","Auer","L3","1.6.4")</f>
        <v>3135.782785464181</v>
      </c>
      <c r="AN23" s="32">
        <v>0</v>
      </c>
    </row>
    <row r="24" spans="1:40" x14ac:dyDescent="0.25">
      <c r="A24" t="s">
        <v>76</v>
      </c>
      <c r="B24" t="s">
        <v>76</v>
      </c>
      <c r="C24" s="28">
        <f>GETPIVOTDATA("PY8 CMo",'[1]PY8 Pivots'!$A$139,"Resource Name","Senior Scientist")</f>
        <v>0</v>
      </c>
      <c r="D24" s="22">
        <f t="shared" si="1"/>
        <v>0</v>
      </c>
      <c r="E24" s="23">
        <v>0</v>
      </c>
      <c r="F24" s="29">
        <v>0</v>
      </c>
      <c r="G24" s="29">
        <v>0</v>
      </c>
      <c r="H24" s="29">
        <v>0</v>
      </c>
      <c r="I24" s="30">
        <v>0</v>
      </c>
      <c r="J24" s="31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5">
        <v>0</v>
      </c>
      <c r="T24" s="31">
        <v>0</v>
      </c>
      <c r="U24" s="31">
        <v>0</v>
      </c>
      <c r="V24" s="31">
        <v>0</v>
      </c>
      <c r="W24" s="31">
        <v>0</v>
      </c>
      <c r="X24" s="32">
        <v>0</v>
      </c>
      <c r="Y24" s="29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f>GETPIVOTDATA("Salary Cost PY7",'[1]PY7 Pivots'!$A$4,"Resource Name","Senior Scientist","L3","1.5.3")</f>
        <v>0</v>
      </c>
      <c r="AH24" s="32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2">
        <v>0</v>
      </c>
    </row>
    <row r="25" spans="1:40" x14ac:dyDescent="0.25">
      <c r="A25" t="s">
        <v>77</v>
      </c>
      <c r="B25" t="s">
        <v>77</v>
      </c>
      <c r="C25" s="28">
        <f>GETPIVOTDATA("PY8 CMo",'[1]PY8 Pivots'!$A$139,"Resource Name","Scientist")</f>
        <v>0</v>
      </c>
      <c r="D25" s="22">
        <f t="shared" si="1"/>
        <v>0</v>
      </c>
      <c r="E25" s="23">
        <v>0</v>
      </c>
      <c r="F25" s="29">
        <v>0</v>
      </c>
      <c r="G25" s="29">
        <v>0</v>
      </c>
      <c r="H25" s="29">
        <v>0</v>
      </c>
      <c r="I25" s="30">
        <v>0</v>
      </c>
      <c r="J25" s="31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5">
        <v>0</v>
      </c>
      <c r="T25" s="31">
        <v>0</v>
      </c>
      <c r="U25" s="31">
        <v>0</v>
      </c>
      <c r="V25" s="31">
        <f>GETPIVOTDATA("Salary Cost PY6",'[1]PY6 Pivots'!$A$4,"Resource Name","Scientist","L3","1.3.3")</f>
        <v>0</v>
      </c>
      <c r="W25" s="31">
        <v>0</v>
      </c>
      <c r="X25" s="32">
        <v>0</v>
      </c>
      <c r="Y25" s="29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2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2">
        <v>0</v>
      </c>
    </row>
    <row r="26" spans="1:40" x14ac:dyDescent="0.25">
      <c r="A26" s="27" t="s">
        <v>72</v>
      </c>
      <c r="B26" s="27" t="s">
        <v>78</v>
      </c>
      <c r="C26" s="28">
        <f>GETPIVOTDATA("PY8 CMo",'[1]PY8 Pivots'!$A$139,"Resource Name","S. Griffin")</f>
        <v>0.32666666666666666</v>
      </c>
      <c r="D26" s="22">
        <f t="shared" si="1"/>
        <v>2507.53741490417</v>
      </c>
      <c r="E26" s="23">
        <v>0</v>
      </c>
      <c r="F26" s="29">
        <v>0</v>
      </c>
      <c r="G26" s="29">
        <v>0</v>
      </c>
      <c r="H26" s="29">
        <v>0</v>
      </c>
      <c r="I26" s="30">
        <v>0</v>
      </c>
      <c r="J26" s="31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5">
        <v>0</v>
      </c>
      <c r="T26" s="31">
        <v>0</v>
      </c>
      <c r="U26" s="31">
        <v>0</v>
      </c>
      <c r="V26" s="31">
        <v>0</v>
      </c>
      <c r="W26" s="31">
        <f>GETPIVOTDATA("Salary Cost PY8",'[1]PY8 Pivots'!$A$4,"Resource Name","S. Griffin","L3","1.3.4")</f>
        <v>2507.53741490417</v>
      </c>
      <c r="X26" s="32">
        <v>0</v>
      </c>
      <c r="Y26" s="29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2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2">
        <v>0</v>
      </c>
    </row>
    <row r="27" spans="1:40" x14ac:dyDescent="0.25">
      <c r="A27" s="15" t="s">
        <v>79</v>
      </c>
      <c r="B27" s="37"/>
      <c r="C27" s="37"/>
      <c r="D27" s="38"/>
      <c r="E27" s="23"/>
      <c r="F27" s="24"/>
      <c r="G27" s="24"/>
      <c r="H27" s="24"/>
      <c r="I27" s="25"/>
      <c r="J27" s="23"/>
      <c r="K27" s="24"/>
      <c r="L27" s="24"/>
      <c r="M27" s="24"/>
      <c r="N27" s="24"/>
      <c r="O27" s="24"/>
      <c r="P27" s="24"/>
      <c r="Q27" s="24"/>
      <c r="R27" s="24"/>
      <c r="S27" s="25"/>
      <c r="T27" s="23"/>
      <c r="U27" s="24"/>
      <c r="V27" s="24"/>
      <c r="W27" s="24"/>
      <c r="X27" s="25"/>
      <c r="Y27" s="24"/>
      <c r="Z27" s="24"/>
      <c r="AA27" s="24"/>
      <c r="AB27" s="24"/>
      <c r="AC27" s="25"/>
      <c r="AD27" s="23"/>
      <c r="AE27" s="23"/>
      <c r="AF27" s="23"/>
      <c r="AG27" s="23"/>
      <c r="AH27" s="26"/>
      <c r="AI27" s="23"/>
      <c r="AJ27" s="23"/>
      <c r="AK27" s="23"/>
      <c r="AL27" s="23"/>
      <c r="AM27" s="23"/>
      <c r="AN27" s="26"/>
    </row>
    <row r="28" spans="1:40" x14ac:dyDescent="0.25">
      <c r="D28" s="22">
        <f>SUM(E28:AN28)</f>
        <v>347748.64419866976</v>
      </c>
      <c r="E28" s="26">
        <f t="shared" ref="E28:AN28" si="2">SUM(E7:E26)</f>
        <v>87838.937650881024</v>
      </c>
      <c r="F28" s="32">
        <f t="shared" si="2"/>
        <v>53569.622585013094</v>
      </c>
      <c r="G28" s="32">
        <f t="shared" si="2"/>
        <v>15010.382458475417</v>
      </c>
      <c r="H28" s="32">
        <f t="shared" si="2"/>
        <v>1381.7042898451548</v>
      </c>
      <c r="I28" s="32">
        <f t="shared" si="2"/>
        <v>12085.829485643198</v>
      </c>
      <c r="J28" s="26">
        <f t="shared" si="2"/>
        <v>75117.241100407584</v>
      </c>
      <c r="K28" s="26">
        <f t="shared" si="2"/>
        <v>0</v>
      </c>
      <c r="L28" s="26">
        <f t="shared" si="2"/>
        <v>0</v>
      </c>
      <c r="M28" s="26">
        <f t="shared" si="2"/>
        <v>0</v>
      </c>
      <c r="N28" s="26">
        <f t="shared" si="2"/>
        <v>0</v>
      </c>
      <c r="O28" s="26">
        <f t="shared" si="2"/>
        <v>0</v>
      </c>
      <c r="P28" s="26">
        <f t="shared" si="2"/>
        <v>0</v>
      </c>
      <c r="Q28" s="26">
        <f t="shared" si="2"/>
        <v>26398.645449481806</v>
      </c>
      <c r="R28" s="26">
        <f t="shared" si="2"/>
        <v>0</v>
      </c>
      <c r="S28" s="26">
        <f t="shared" si="2"/>
        <v>18304.629480854597</v>
      </c>
      <c r="T28" s="26">
        <f t="shared" si="2"/>
        <v>0</v>
      </c>
      <c r="U28" s="26">
        <f t="shared" si="2"/>
        <v>0</v>
      </c>
      <c r="V28" s="26">
        <f t="shared" si="2"/>
        <v>0</v>
      </c>
      <c r="W28" s="26">
        <f t="shared" si="2"/>
        <v>2507.53741490417</v>
      </c>
      <c r="X28" s="26">
        <f t="shared" si="2"/>
        <v>0</v>
      </c>
      <c r="Y28" s="25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9038.2405910201978</v>
      </c>
      <c r="AC28" s="26">
        <f t="shared" si="2"/>
        <v>0</v>
      </c>
      <c r="AD28" s="26">
        <f t="shared" si="2"/>
        <v>0</v>
      </c>
      <c r="AE28" s="26">
        <f t="shared" si="2"/>
        <v>0</v>
      </c>
      <c r="AF28" s="26">
        <f t="shared" si="2"/>
        <v>0</v>
      </c>
      <c r="AG28" s="26">
        <f t="shared" si="2"/>
        <v>0</v>
      </c>
      <c r="AH28" s="26">
        <f t="shared" si="2"/>
        <v>0</v>
      </c>
      <c r="AI28" s="26">
        <f t="shared" si="2"/>
        <v>0</v>
      </c>
      <c r="AJ28" s="26">
        <f t="shared" si="2"/>
        <v>43360.090906679317</v>
      </c>
      <c r="AK28" s="26">
        <f t="shared" si="2"/>
        <v>0</v>
      </c>
      <c r="AL28" s="26">
        <f t="shared" si="2"/>
        <v>0</v>
      </c>
      <c r="AM28" s="26">
        <f t="shared" si="2"/>
        <v>3135.782785464181</v>
      </c>
      <c r="AN28" s="26">
        <f t="shared" si="2"/>
        <v>0</v>
      </c>
    </row>
    <row r="29" spans="1:40" x14ac:dyDescent="0.25">
      <c r="A29" s="15" t="s">
        <v>80</v>
      </c>
      <c r="B29" s="15"/>
      <c r="C29" s="15"/>
      <c r="D29" s="18"/>
      <c r="E29" s="39"/>
      <c r="F29" s="40"/>
      <c r="G29" s="40"/>
      <c r="H29" s="40"/>
      <c r="I29" s="41"/>
      <c r="J29" s="39"/>
      <c r="K29" s="40"/>
      <c r="L29" s="40"/>
      <c r="M29" s="40"/>
      <c r="N29" s="40"/>
      <c r="O29" s="40"/>
      <c r="P29" s="40"/>
      <c r="Q29" s="40"/>
      <c r="R29" s="40"/>
      <c r="S29" s="41"/>
      <c r="T29" s="39"/>
      <c r="U29" s="40"/>
      <c r="V29" s="40"/>
      <c r="W29" s="40"/>
      <c r="X29" s="41"/>
      <c r="Y29" s="40"/>
      <c r="Z29" s="40"/>
      <c r="AA29" s="40"/>
      <c r="AB29" s="40"/>
      <c r="AC29" s="41"/>
      <c r="AD29" s="39"/>
      <c r="AE29" s="39"/>
      <c r="AF29" s="39"/>
      <c r="AG29" s="39"/>
      <c r="AH29" s="42"/>
      <c r="AI29" s="39"/>
      <c r="AJ29" s="39"/>
      <c r="AK29" s="39"/>
      <c r="AL29" s="39"/>
      <c r="AM29" s="39"/>
      <c r="AN29" s="42"/>
    </row>
    <row r="30" spans="1:40" x14ac:dyDescent="0.25">
      <c r="D30" s="22">
        <f>SUM(E30:AN30)</f>
        <v>121712.02546953439</v>
      </c>
      <c r="E30" s="25">
        <f>GETPIVOTDATA("Fringe Cost PY8",'[1]PY8 Pivots'!$A$30,"L3","1.1.1")</f>
        <v>30743.628177808358</v>
      </c>
      <c r="F30" s="25">
        <f>GETPIVOTDATA("Fringe Cost PY8",'[1]PY8 Pivots'!$A$30,"L3","1.1.2")</f>
        <v>18749.367904754581</v>
      </c>
      <c r="G30" s="25">
        <f>GETPIVOTDATA("Fringe Cost PY8",'[1]PY8 Pivots'!$A$30,"L3","1.1.3")</f>
        <v>5253.6338604663952</v>
      </c>
      <c r="H30" s="25">
        <f>GETPIVOTDATA("Fringe Cost PY8",'[1]PY8 Pivots'!$A$30,"L3","1.1.4")</f>
        <v>483.59650144580417</v>
      </c>
      <c r="I30" s="25">
        <f>GETPIVOTDATA("Fringe Cost PY8",'[1]PY8 Pivots'!$A$30,"L3","1.1.5")</f>
        <v>4230.040319975119</v>
      </c>
      <c r="J30" s="25">
        <f>GETPIVOTDATA("Fringe Cost PY8",'[1]PY8 Pivots'!$A$30,"L3","1.2.1")</f>
        <v>26291.034385142655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5">
        <f>GETPIVOTDATA("Fringe Cost PY8",'[1]PY8 Pivots'!$A$30,"L3","1.2.8")</f>
        <v>9239.5259073186317</v>
      </c>
      <c r="R30" s="23">
        <v>0</v>
      </c>
      <c r="S30" s="25">
        <f>GETPIVOTDATA("Fringe Cost PY8",'[1]PY8 Pivots'!$A$30,"L3","1.2.10")</f>
        <v>6406.6203182991085</v>
      </c>
      <c r="T30" s="23">
        <v>0</v>
      </c>
      <c r="U30" s="23">
        <v>0</v>
      </c>
      <c r="V30" s="32">
        <f>GETPIVOTDATA("Fringe Cost PY6",'[1]PY6 Pivots'!$A$30,"L3","1.3.3")</f>
        <v>0</v>
      </c>
      <c r="W30" s="25">
        <f>GETPIVOTDATA("Fringe Cost PY8",'[1]PY8 Pivots'!$A$30,"L3","1.3.4")</f>
        <v>877.63809521645942</v>
      </c>
      <c r="X30" s="23">
        <v>0</v>
      </c>
      <c r="Y30" s="23">
        <v>0</v>
      </c>
      <c r="Z30" s="25">
        <f>GETPIVOTDATA("Fringe Cost PY7",'[1]PY7 Pivots'!$A$30,"L3","1.4.2")</f>
        <v>0</v>
      </c>
      <c r="AA30" s="23">
        <v>0</v>
      </c>
      <c r="AB30" s="25">
        <f>GETPIVOTDATA("Fringe Cost PY8",'[1]PY8 Pivots'!$A$30,"L3","1.4.4")</f>
        <v>3163.3842068570689</v>
      </c>
      <c r="AC30" s="23">
        <v>0</v>
      </c>
      <c r="AD30" s="23">
        <v>0</v>
      </c>
      <c r="AE30" s="23">
        <v>0</v>
      </c>
      <c r="AF30" s="32">
        <f>GETPIVOTDATA("Fringe Cost PY7",'[1]PY7 Pivots'!$A$30,"L3","1.5.2")</f>
        <v>0</v>
      </c>
      <c r="AG30" s="32">
        <f>GETPIVOTDATA("Fringe Cost PY7",'[1]PY7 Pivots'!$A$30,"L3","1.5.3")</f>
        <v>0</v>
      </c>
      <c r="AH30" s="23">
        <v>0</v>
      </c>
      <c r="AI30" s="23">
        <v>0</v>
      </c>
      <c r="AJ30" s="25">
        <f>GETPIVOTDATA("Fringe Cost PY8",'[1]PY8 Pivots'!$A$30,"L3","1.6.1")</f>
        <v>15176.031817337762</v>
      </c>
      <c r="AK30" s="23">
        <v>0</v>
      </c>
      <c r="AL30" s="23">
        <v>0</v>
      </c>
      <c r="AM30" s="25">
        <f>GETPIVOTDATA("Fringe Cost PY8",'[1]PY8 Pivots'!$A$30,"L3","1.6.4")</f>
        <v>1097.5239749124632</v>
      </c>
      <c r="AN30" s="23">
        <v>0</v>
      </c>
    </row>
    <row r="31" spans="1:40" x14ac:dyDescent="0.25">
      <c r="A31" s="15" t="s">
        <v>81</v>
      </c>
      <c r="B31" s="15"/>
      <c r="C31" s="15"/>
      <c r="D31" s="18"/>
      <c r="E31" s="18"/>
      <c r="F31" s="19"/>
      <c r="G31" s="19"/>
      <c r="H31" s="19"/>
      <c r="I31" s="20"/>
      <c r="J31" s="18"/>
      <c r="K31" s="19"/>
      <c r="L31" s="19"/>
      <c r="M31" s="19"/>
      <c r="N31" s="19"/>
      <c r="O31" s="19"/>
      <c r="P31" s="19"/>
      <c r="Q31" s="19"/>
      <c r="R31" s="19"/>
      <c r="S31" s="20"/>
      <c r="T31" s="18"/>
      <c r="U31" s="19"/>
      <c r="V31" s="19"/>
      <c r="W31" s="19"/>
      <c r="X31" s="20"/>
      <c r="Y31" s="19"/>
      <c r="Z31" s="19"/>
      <c r="AA31" s="19"/>
      <c r="AB31" s="19"/>
      <c r="AC31" s="20"/>
      <c r="AD31" s="18"/>
      <c r="AE31" s="18"/>
      <c r="AF31" s="18"/>
      <c r="AG31" s="18"/>
      <c r="AH31" s="43"/>
      <c r="AI31" s="18"/>
      <c r="AJ31" s="18"/>
      <c r="AK31" s="18"/>
      <c r="AL31" s="18"/>
      <c r="AM31" s="18"/>
      <c r="AN31" s="43"/>
    </row>
    <row r="32" spans="1:40" x14ac:dyDescent="0.25">
      <c r="A32" s="44" t="s">
        <v>82</v>
      </c>
      <c r="B32" s="44" t="s">
        <v>83</v>
      </c>
      <c r="C32" s="44" t="s">
        <v>84</v>
      </c>
      <c r="D32" s="45"/>
      <c r="E32" s="23"/>
      <c r="F32" s="24"/>
      <c r="G32" s="24"/>
      <c r="H32" s="24"/>
      <c r="I32" s="25"/>
      <c r="J32" s="23"/>
      <c r="K32" s="24"/>
      <c r="L32" s="24"/>
      <c r="M32" s="24"/>
      <c r="N32" s="24"/>
      <c r="O32" s="24"/>
      <c r="P32" s="24"/>
      <c r="Q32" s="24"/>
      <c r="R32" s="24"/>
      <c r="S32" s="25"/>
      <c r="T32" s="23"/>
      <c r="U32" s="24"/>
      <c r="V32" s="24"/>
      <c r="W32" s="24"/>
      <c r="X32" s="25"/>
      <c r="Y32" s="24"/>
      <c r="Z32" s="24"/>
      <c r="AA32" s="24"/>
      <c r="AB32" s="24"/>
      <c r="AC32" s="25"/>
      <c r="AD32" s="23"/>
      <c r="AE32" s="23"/>
      <c r="AF32" s="23"/>
      <c r="AG32" s="23"/>
      <c r="AH32" s="26"/>
      <c r="AI32" s="23"/>
      <c r="AJ32" s="23"/>
      <c r="AK32" s="23"/>
      <c r="AL32" s="23"/>
      <c r="AM32" s="23"/>
      <c r="AN32" s="26"/>
    </row>
    <row r="33" spans="1:40" x14ac:dyDescent="0.25">
      <c r="A33" s="27" t="s">
        <v>85</v>
      </c>
      <c r="B33" s="27">
        <v>1</v>
      </c>
      <c r="C33" s="27">
        <v>1</v>
      </c>
      <c r="D33" s="46">
        <f>SUM(E33:AN33)</f>
        <v>2000</v>
      </c>
      <c r="E33" s="47">
        <v>0</v>
      </c>
      <c r="F33" s="48">
        <v>0</v>
      </c>
      <c r="G33" s="48">
        <v>0</v>
      </c>
      <c r="H33" s="48">
        <v>0</v>
      </c>
      <c r="I33" s="49">
        <v>0</v>
      </c>
      <c r="J33" s="23">
        <v>0</v>
      </c>
      <c r="K33" s="24">
        <f>GETPIVOTDATA("12mo Subtotal PY8",'[1]PY8 Pivots'!$A$55,"L3","1.2.2")</f>
        <v>0</v>
      </c>
      <c r="L33" s="24">
        <f>GETPIVOTDATA("12mo Subtotal PY8",'[1]PY8 Pivots'!$A$55,"L3","1.2.2")</f>
        <v>0</v>
      </c>
      <c r="M33" s="24">
        <f>GETPIVOTDATA("12mo Subtotal PY8",'[1]PY8 Pivots'!$A$55,"L3","1.2.3")</f>
        <v>0</v>
      </c>
      <c r="N33" s="24">
        <f>GETPIVOTDATA("12mo Subtotal PY8",'[1]PY8 Pivots'!$A$55,"L3","1.2.4")</f>
        <v>0</v>
      </c>
      <c r="O33" s="24">
        <f>GETPIVOTDATA("12mo Subtotal PY8",'[1]PY8 Pivots'!$A$55,"L3","1.2.5")</f>
        <v>0</v>
      </c>
      <c r="P33" s="24">
        <f>GETPIVOTDATA("12mo Subtotal PY8",'[1]PY8 Pivots'!$A$55,"L3","1.2.6")</f>
        <v>0</v>
      </c>
      <c r="Q33" s="24">
        <f>GETPIVOTDATA("12mo Subtotal PY8",'[1]PY8 Pivots'!$A$55,"L3","1.2.7")</f>
        <v>2000</v>
      </c>
      <c r="R33" s="24">
        <f>GETPIVOTDATA("12mo Subtotal PY8",'[1]PY8 Pivots'!$A$55,"L3","1.2.8")</f>
        <v>0</v>
      </c>
      <c r="S33" s="24">
        <f>GETPIVOTDATA("12mo Subtotal PY8",'[1]PY8 Pivots'!$A$55,"L3","1.2.9")</f>
        <v>0</v>
      </c>
      <c r="T33" s="23">
        <v>0</v>
      </c>
      <c r="U33" s="24">
        <v>0</v>
      </c>
      <c r="V33" s="24">
        <f>GETPIVOTDATA("12mo Subtotal PY8",'[1]PY8 Pivots'!$A$55,"L3","1.3.3")</f>
        <v>0</v>
      </c>
      <c r="W33" s="24">
        <v>0</v>
      </c>
      <c r="X33" s="25">
        <v>0</v>
      </c>
      <c r="Y33" s="24">
        <v>0</v>
      </c>
      <c r="Z33" s="50">
        <v>0</v>
      </c>
      <c r="AA33" s="24">
        <v>0</v>
      </c>
      <c r="AB33" s="24">
        <f>GETPIVOTDATA("12mo Subtotal PY8",'[1]PY8 Pivots'!$A$55,"L3","1.4.4")</f>
        <v>0</v>
      </c>
      <c r="AC33" s="24">
        <v>0</v>
      </c>
      <c r="AD33" s="50">
        <v>0</v>
      </c>
      <c r="AE33" s="23">
        <v>0</v>
      </c>
      <c r="AF33" s="50">
        <v>0</v>
      </c>
      <c r="AG33" s="50">
        <v>0</v>
      </c>
      <c r="AH33" s="51">
        <v>0</v>
      </c>
      <c r="AI33" s="23">
        <v>0</v>
      </c>
      <c r="AJ33" s="50">
        <v>0</v>
      </c>
      <c r="AK33" s="50">
        <v>0</v>
      </c>
      <c r="AL33" s="50">
        <v>0</v>
      </c>
      <c r="AM33" s="24">
        <f>GETPIVOTDATA("12mo Subtotal PY8",'[1]PY8 Pivots'!$A$55,"L3","1.6.4")</f>
        <v>0</v>
      </c>
      <c r="AN33" s="51">
        <v>0</v>
      </c>
    </row>
    <row r="34" spans="1:40" x14ac:dyDescent="0.25">
      <c r="A34" s="27" t="s">
        <v>86</v>
      </c>
      <c r="B34" s="27">
        <v>1</v>
      </c>
      <c r="C34" s="27">
        <v>1</v>
      </c>
      <c r="D34" s="46">
        <f>SUM(E34:AN34)</f>
        <v>1392095.1997002284</v>
      </c>
      <c r="E34" s="47">
        <v>0</v>
      </c>
      <c r="F34" s="52">
        <v>0</v>
      </c>
      <c r="G34" s="52">
        <v>0</v>
      </c>
      <c r="H34" s="52">
        <v>0</v>
      </c>
      <c r="I34" s="53">
        <v>0</v>
      </c>
      <c r="J34" s="54">
        <f>GETPIVOTDATA("12mo Subtotal PY8",'[1]PY8 Pivots'!$A$64,"L3","1.2.1")</f>
        <v>126966.53840728407</v>
      </c>
      <c r="K34" s="54">
        <f>GETPIVOTDATA("12mo Subtotal PY8",'[1]PY8 Pivots'!$A$64,"L3","1.2.2")</f>
        <v>0</v>
      </c>
      <c r="L34" s="54">
        <f>GETPIVOTDATA("12mo Subtotal PY8",'[1]PY8 Pivots'!$A$64,"L3","1.2.3")</f>
        <v>0</v>
      </c>
      <c r="M34" s="54">
        <f>GETPIVOTDATA("12mo Subtotal PY8",'[1]PY8 Pivots'!$A$64,"L3","1.2.4")</f>
        <v>4006.8335592042313</v>
      </c>
      <c r="N34" s="54">
        <f>GETPIVOTDATA("12mo Subtotal PY8",'[1]PY8 Pivots'!$A$64,"L3","1.2.5")</f>
        <v>0</v>
      </c>
      <c r="O34" s="54">
        <f>GETPIVOTDATA("12mo Subtotal PY8",'[1]PY8 Pivots'!$A$64,"L3","1.2.6")</f>
        <v>0</v>
      </c>
      <c r="P34" s="54">
        <f>GETPIVOTDATA("12mo Subtotal PY8",'[1]PY8 Pivots'!$A$64,"L3","1.2.7")</f>
        <v>8362.0874279044838</v>
      </c>
      <c r="Q34" s="54">
        <f>GETPIVOTDATA("12mo Subtotal PY8",'[1]PY8 Pivots'!$A$64,"L3","1.2.8")</f>
        <v>1252759.7403058356</v>
      </c>
      <c r="R34" s="54">
        <f>GETPIVOTDATA("12mo Subtotal PY7",'[1]PY7 Pivots'!$A$64,"L3","1.2.9")</f>
        <v>0</v>
      </c>
      <c r="S34" s="54">
        <f>GETPIVOTDATA("12mo Subtotal PY8",'[1]PY8 Pivots'!$A$64,"L3","1.2.10")</f>
        <v>0</v>
      </c>
      <c r="T34" s="31">
        <v>0</v>
      </c>
      <c r="U34" s="31">
        <v>0</v>
      </c>
      <c r="V34" s="54">
        <f>GETPIVOTDATA("12mo Subtotal PY8",'[1]PY8 Pivots'!$A$64,"L3","1.3.3")</f>
        <v>0</v>
      </c>
      <c r="W34" s="31">
        <v>0</v>
      </c>
      <c r="X34" s="32">
        <v>0</v>
      </c>
      <c r="Y34" s="29">
        <v>0</v>
      </c>
      <c r="Z34" s="31">
        <v>0</v>
      </c>
      <c r="AA34" s="31">
        <v>0</v>
      </c>
      <c r="AB34" s="31">
        <v>0</v>
      </c>
      <c r="AC34" s="24">
        <v>0</v>
      </c>
      <c r="AD34" s="31">
        <v>0</v>
      </c>
      <c r="AE34" s="31">
        <v>0</v>
      </c>
      <c r="AF34" s="31">
        <v>0</v>
      </c>
      <c r="AG34" s="54">
        <f>GETPIVOTDATA("12mo Subtotal PY8",'[1]PY8 Pivots'!$A$64,"L3","1.5.3")</f>
        <v>0</v>
      </c>
      <c r="AH34" s="32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2">
        <v>0</v>
      </c>
    </row>
    <row r="35" spans="1:40" x14ac:dyDescent="0.25">
      <c r="D35" s="55"/>
      <c r="E35" s="100"/>
      <c r="F35" s="101"/>
      <c r="G35" s="101"/>
      <c r="H35" s="101"/>
      <c r="I35" s="101"/>
      <c r="J35" s="102"/>
      <c r="K35" s="103"/>
      <c r="L35" s="103"/>
      <c r="M35" s="103"/>
      <c r="N35" s="103"/>
      <c r="O35" s="103"/>
      <c r="P35" s="103"/>
      <c r="Q35" s="103"/>
      <c r="R35" s="103"/>
      <c r="S35" s="103"/>
      <c r="T35" s="104"/>
      <c r="U35" s="105"/>
      <c r="V35" s="105"/>
      <c r="W35" s="105"/>
      <c r="X35" s="102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</row>
    <row r="36" spans="1:40" x14ac:dyDescent="0.25">
      <c r="A36" s="15" t="s">
        <v>87</v>
      </c>
      <c r="B36" s="15"/>
      <c r="C36" s="15"/>
      <c r="D36" s="18"/>
      <c r="E36" s="18"/>
      <c r="F36" s="19"/>
      <c r="G36" s="19"/>
      <c r="H36" s="19"/>
      <c r="I36" s="56"/>
      <c r="J36" s="57"/>
      <c r="K36" s="19"/>
      <c r="L36" s="19"/>
      <c r="M36" s="19"/>
      <c r="N36" s="19"/>
      <c r="O36" s="19"/>
      <c r="P36" s="19"/>
      <c r="Q36" s="19"/>
      <c r="R36" s="19"/>
      <c r="S36" s="20"/>
      <c r="T36" s="18"/>
      <c r="U36" s="19"/>
      <c r="V36" s="19"/>
      <c r="W36" s="19"/>
      <c r="X36" s="20"/>
      <c r="Y36" s="19"/>
      <c r="Z36" s="19"/>
      <c r="AA36" s="19"/>
      <c r="AB36" s="19"/>
      <c r="AC36" s="20"/>
      <c r="AD36" s="18"/>
      <c r="AE36" s="18"/>
      <c r="AF36" s="18"/>
      <c r="AG36" s="18"/>
      <c r="AH36" s="43"/>
      <c r="AI36" s="18"/>
      <c r="AJ36" s="18"/>
      <c r="AK36" s="18"/>
      <c r="AL36" s="18"/>
      <c r="AM36" s="18"/>
      <c r="AN36" s="43"/>
    </row>
    <row r="37" spans="1:40" x14ac:dyDescent="0.25">
      <c r="D37" s="22">
        <f>SUM(E37:AN37)</f>
        <v>1394095.1997002284</v>
      </c>
      <c r="E37" s="58">
        <f>SUM(E33:E34)</f>
        <v>0</v>
      </c>
      <c r="F37" s="58">
        <f t="shared" ref="F37:AN37" si="3">SUM(F33:F34)</f>
        <v>0</v>
      </c>
      <c r="G37" s="58">
        <f t="shared" si="3"/>
        <v>0</v>
      </c>
      <c r="H37" s="58">
        <f t="shared" si="3"/>
        <v>0</v>
      </c>
      <c r="I37" s="58">
        <f t="shared" si="3"/>
        <v>0</v>
      </c>
      <c r="J37" s="58">
        <f t="shared" si="3"/>
        <v>126966.53840728407</v>
      </c>
      <c r="K37" s="58">
        <f t="shared" si="3"/>
        <v>0</v>
      </c>
      <c r="L37" s="58">
        <f t="shared" si="3"/>
        <v>0</v>
      </c>
      <c r="M37" s="58">
        <f t="shared" si="3"/>
        <v>4006.8335592042313</v>
      </c>
      <c r="N37" s="58">
        <f t="shared" si="3"/>
        <v>0</v>
      </c>
      <c r="O37" s="58">
        <f t="shared" si="3"/>
        <v>0</v>
      </c>
      <c r="P37" s="58">
        <f t="shared" si="3"/>
        <v>8362.0874279044838</v>
      </c>
      <c r="Q37" s="58">
        <f t="shared" si="3"/>
        <v>1254759.7403058356</v>
      </c>
      <c r="R37" s="58">
        <f t="shared" si="3"/>
        <v>0</v>
      </c>
      <c r="S37" s="58">
        <f t="shared" si="3"/>
        <v>0</v>
      </c>
      <c r="T37" s="58">
        <f t="shared" si="3"/>
        <v>0</v>
      </c>
      <c r="U37" s="58">
        <f t="shared" si="3"/>
        <v>0</v>
      </c>
      <c r="V37" s="58">
        <f t="shared" si="3"/>
        <v>0</v>
      </c>
      <c r="W37" s="58">
        <f t="shared" si="3"/>
        <v>0</v>
      </c>
      <c r="X37" s="58">
        <f t="shared" si="3"/>
        <v>0</v>
      </c>
      <c r="Y37" s="58">
        <f t="shared" si="3"/>
        <v>0</v>
      </c>
      <c r="Z37" s="58">
        <f t="shared" si="3"/>
        <v>0</v>
      </c>
      <c r="AA37" s="58">
        <f t="shared" si="3"/>
        <v>0</v>
      </c>
      <c r="AB37" s="58">
        <f t="shared" si="3"/>
        <v>0</v>
      </c>
      <c r="AC37" s="58">
        <f t="shared" si="3"/>
        <v>0</v>
      </c>
      <c r="AD37" s="58">
        <f t="shared" si="3"/>
        <v>0</v>
      </c>
      <c r="AE37" s="58">
        <f t="shared" si="3"/>
        <v>0</v>
      </c>
      <c r="AF37" s="58">
        <f t="shared" si="3"/>
        <v>0</v>
      </c>
      <c r="AG37" s="58">
        <f t="shared" si="3"/>
        <v>0</v>
      </c>
      <c r="AH37" s="58">
        <f t="shared" si="3"/>
        <v>0</v>
      </c>
      <c r="AI37" s="58">
        <f t="shared" si="3"/>
        <v>0</v>
      </c>
      <c r="AJ37" s="58">
        <f t="shared" si="3"/>
        <v>0</v>
      </c>
      <c r="AK37" s="58">
        <f t="shared" si="3"/>
        <v>0</v>
      </c>
      <c r="AL37" s="58">
        <f t="shared" si="3"/>
        <v>0</v>
      </c>
      <c r="AM37" s="58">
        <f>SUM(AM33:AM34)</f>
        <v>0</v>
      </c>
      <c r="AN37" s="58">
        <f t="shared" si="3"/>
        <v>0</v>
      </c>
    </row>
    <row r="38" spans="1:40" x14ac:dyDescent="0.25">
      <c r="A38" s="15" t="s">
        <v>88</v>
      </c>
      <c r="B38" s="15"/>
      <c r="C38" s="15"/>
      <c r="D38" s="18"/>
      <c r="E38" s="18"/>
      <c r="F38" s="19"/>
      <c r="G38" s="19"/>
      <c r="H38" s="19"/>
      <c r="I38" s="20"/>
      <c r="J38" s="18"/>
      <c r="K38" s="19"/>
      <c r="L38" s="19"/>
      <c r="M38" s="19"/>
      <c r="N38" s="19"/>
      <c r="O38" s="19"/>
      <c r="P38" s="19"/>
      <c r="Q38" s="19"/>
      <c r="R38" s="19"/>
      <c r="S38" s="20"/>
      <c r="T38" s="18"/>
      <c r="U38" s="19"/>
      <c r="V38" s="19"/>
      <c r="W38" s="19"/>
      <c r="X38" s="20"/>
      <c r="Y38" s="19"/>
      <c r="Z38" s="19"/>
      <c r="AA38" s="19"/>
      <c r="AB38" s="19"/>
      <c r="AC38" s="19"/>
      <c r="AD38" s="19"/>
      <c r="AE38" s="18"/>
      <c r="AF38" s="19"/>
      <c r="AG38" s="19"/>
      <c r="AH38" s="20"/>
      <c r="AI38" s="18"/>
      <c r="AJ38" s="19"/>
      <c r="AK38" s="19"/>
      <c r="AL38" s="19"/>
      <c r="AM38" s="19"/>
      <c r="AN38" s="20"/>
    </row>
    <row r="39" spans="1:40" x14ac:dyDescent="0.25">
      <c r="A39" s="27" t="s">
        <v>89</v>
      </c>
      <c r="B39" s="27"/>
      <c r="C39" s="27"/>
      <c r="D39" s="22">
        <f>SUM(E39:AN39)</f>
        <v>1800</v>
      </c>
      <c r="E39" s="31">
        <f>GETPIVOTDATA("12mo Subtotal PY8",'[1]PY8 Pivots'!$A$74,"Resource Name","Domestic","L3","1.1.1")</f>
        <v>1800</v>
      </c>
      <c r="F39" s="31">
        <v>0</v>
      </c>
      <c r="G39" s="31">
        <v>0</v>
      </c>
      <c r="H39" s="31">
        <v>0</v>
      </c>
      <c r="I39" s="31">
        <v>0</v>
      </c>
      <c r="J39" s="31">
        <f>GETPIVOTDATA("12mo Subtotal PY8",'[1]PY8 Pivots'!$A$74,"Resource Name","Domestic","L3","1.2.1")</f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f>GETPIVOTDATA("12mo Subtotal PY8",'[1]PY8 Pivots'!$A$74,"Resource Name","Domestic","L3","1.2.8")</f>
        <v>0</v>
      </c>
      <c r="R39" s="31">
        <f>GETPIVOTDATA("12mo Subtotal PY8",'[1]PY8 Pivots'!$A$74,"Resource Name","Domestic","L3","1.2.9")</f>
        <v>0</v>
      </c>
      <c r="S39" s="31">
        <f>GETPIVOTDATA("12mo Subtotal PY8",'[1]PY8 Pivots'!$A$74,"Resource Name","Domestic","L3","1.2.10")</f>
        <v>0</v>
      </c>
      <c r="T39" s="31">
        <v>0</v>
      </c>
      <c r="U39" s="31">
        <v>0</v>
      </c>
      <c r="V39" s="31">
        <f>GETPIVOTDATA("12mo Subtotal PY8",'[1]PY8 Pivots'!$A$74,"Resource Name","Domestic","L3","1.3.3")</f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f>GETPIVOTDATA("12mo Subtotal PY8",'[1]PY8 Pivots'!$A$74,"Resource Name","Domestic","L3","1.4.4")</f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f>GETPIVOTDATA("12mo Subtotal PY8",'[1]PY8 Pivots'!$A$74,"Resource Name","Domestic","L3","1.5.3")</f>
        <v>0</v>
      </c>
      <c r="AH39" s="31">
        <v>0</v>
      </c>
      <c r="AI39" s="31">
        <f>GETPIVOTDATA("12mo Subtotal PY8",'[1]PY8 Pivots'!$A$74,"Resource Name","Domestic","L3","1.6.0")</f>
        <v>0</v>
      </c>
      <c r="AJ39" s="31">
        <f>GETPIVOTDATA("12mo Subtotal PY8",'[1]PY8 Pivots'!$A$74,"Resource Name","Domestic","L3","1.6.1")</f>
        <v>0</v>
      </c>
      <c r="AK39" s="31">
        <v>0</v>
      </c>
      <c r="AL39" s="31">
        <v>0</v>
      </c>
      <c r="AM39" s="31">
        <f>GETPIVOTDATA("12mo Subtotal PY8",'[1]PY8 Pivots'!$A$74,"Resource Name","Domestic","L3","1.6.4")</f>
        <v>0</v>
      </c>
      <c r="AN39" s="31">
        <v>0</v>
      </c>
    </row>
    <row r="40" spans="1:40" x14ac:dyDescent="0.25">
      <c r="A40" s="27" t="s">
        <v>90</v>
      </c>
      <c r="B40" s="27"/>
      <c r="C40" s="27"/>
      <c r="D40" s="22">
        <f>SUM(E40:AN40)</f>
        <v>3600</v>
      </c>
      <c r="E40" s="31">
        <f>GETPIVOTDATA("12mo Subtotal PY8",'[1]PY8 Pivots'!$A$74,"Resource Name","Foreign","L3","1.1.1")</f>
        <v>0</v>
      </c>
      <c r="F40" s="31">
        <v>0</v>
      </c>
      <c r="G40" s="31">
        <v>0</v>
      </c>
      <c r="H40" s="31">
        <v>0</v>
      </c>
      <c r="I40" s="31">
        <v>0</v>
      </c>
      <c r="J40" s="31">
        <f>GETPIVOTDATA("12mo Subtotal PY8",'[1]PY8 Pivots'!$A$74,"Resource Name","Foreign","L3","1.2.1")</f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f>GETPIVOTDATA("12mo Subtotal PY8",'[1]PY8 Pivots'!$A$74,"Resource Name","Foreign","L3","1.2.8")</f>
        <v>0</v>
      </c>
      <c r="R40" s="31">
        <f>GETPIVOTDATA("12mo Subtotal PY8",'[1]PY8 Pivots'!$A$74,"Resource Name","Foreign","L3","1.2.9")</f>
        <v>0</v>
      </c>
      <c r="S40" s="31">
        <f>GETPIVOTDATA("12mo Subtotal PY8",'[1]PY8 Pivots'!$A$74,"Resource Name","Foreign","L3","1.2.10")</f>
        <v>1800</v>
      </c>
      <c r="T40" s="31">
        <v>0</v>
      </c>
      <c r="U40" s="31">
        <v>0</v>
      </c>
      <c r="V40" s="31">
        <f>GETPIVOTDATA("12mo Subtotal PY8",'[1]PY8 Pivots'!$A$74,"Resource Name","Foreign","L3","1.3.3")</f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f>GETPIVOTDATA("12mo Subtotal PY8",'[1]PY8 Pivots'!$A$74,"Resource Name","Foreign","L3","1.4.4")</f>
        <v>1800</v>
      </c>
      <c r="AC40" s="31">
        <v>0</v>
      </c>
      <c r="AD40" s="31">
        <v>0</v>
      </c>
      <c r="AE40" s="31">
        <v>0</v>
      </c>
      <c r="AF40" s="31">
        <v>0</v>
      </c>
      <c r="AG40" s="31">
        <f>GETPIVOTDATA("12mo Subtotal PY8",'[1]PY8 Pivots'!$A$74,"Resource Name","Foreign","L3","1.5.3")</f>
        <v>0</v>
      </c>
      <c r="AH40" s="31">
        <v>0</v>
      </c>
      <c r="AI40" s="31">
        <f>GETPIVOTDATA("12mo Subtotal PY8",'[1]PY8 Pivots'!$A$74,"Resource Name","Foreign","L3","1.6.0")</f>
        <v>0</v>
      </c>
      <c r="AJ40" s="31">
        <f>GETPIVOTDATA("12mo Subtotal PY8",'[1]PY8 Pivots'!$A$74,"Resource Name","Foreign","L3","1.6.1")</f>
        <v>0</v>
      </c>
      <c r="AK40" s="31">
        <v>0</v>
      </c>
      <c r="AL40" s="31">
        <v>0</v>
      </c>
      <c r="AM40" s="31">
        <f>GETPIVOTDATA("12mo Subtotal PY8",'[1]PY8 Pivots'!$A$74,"Resource Name","Foreign","L3","1.6.4")</f>
        <v>0</v>
      </c>
      <c r="AN40" s="31">
        <v>0</v>
      </c>
    </row>
    <row r="41" spans="1:40" x14ac:dyDescent="0.25">
      <c r="A41" s="15" t="s">
        <v>91</v>
      </c>
      <c r="B41" s="15"/>
      <c r="C41" s="15"/>
      <c r="D41" s="18"/>
      <c r="E41" s="18"/>
      <c r="F41" s="19"/>
      <c r="G41" s="19"/>
      <c r="H41" s="19"/>
      <c r="I41" s="20"/>
      <c r="J41" s="18"/>
      <c r="K41" s="19"/>
      <c r="L41" s="19"/>
      <c r="M41" s="19"/>
      <c r="N41" s="19"/>
      <c r="O41" s="19"/>
      <c r="P41" s="19"/>
      <c r="Q41" s="19"/>
      <c r="R41" s="19"/>
      <c r="S41" s="20"/>
      <c r="T41" s="18"/>
      <c r="U41" s="19"/>
      <c r="V41" s="19"/>
      <c r="W41" s="19"/>
      <c r="X41" s="20"/>
      <c r="Y41" s="20"/>
      <c r="Z41" s="20"/>
      <c r="AA41" s="20"/>
      <c r="AB41" s="20"/>
      <c r="AC41" s="20"/>
      <c r="AD41" s="19"/>
      <c r="AE41" s="43"/>
      <c r="AF41" s="20"/>
      <c r="AG41" s="20"/>
      <c r="AH41" s="20"/>
      <c r="AI41" s="43"/>
      <c r="AJ41" s="20"/>
      <c r="AK41" s="20"/>
      <c r="AL41" s="20"/>
      <c r="AM41" s="20"/>
      <c r="AN41" s="20"/>
    </row>
    <row r="42" spans="1:40" x14ac:dyDescent="0.25">
      <c r="D42" s="46">
        <f>SUM(E42:AN42)</f>
        <v>5400</v>
      </c>
      <c r="E42" s="59">
        <f t="shared" ref="E42:AN42" si="4">SUM(E39:E40)</f>
        <v>1800</v>
      </c>
      <c r="F42" s="58">
        <f t="shared" si="4"/>
        <v>0</v>
      </c>
      <c r="G42" s="58">
        <f t="shared" si="4"/>
        <v>0</v>
      </c>
      <c r="H42" s="58">
        <f t="shared" si="4"/>
        <v>0</v>
      </c>
      <c r="I42" s="58">
        <f t="shared" si="4"/>
        <v>0</v>
      </c>
      <c r="J42" s="59">
        <f>SUM(J39:J40)</f>
        <v>0</v>
      </c>
      <c r="K42" s="58">
        <f t="shared" si="4"/>
        <v>0</v>
      </c>
      <c r="L42" s="58">
        <f t="shared" si="4"/>
        <v>0</v>
      </c>
      <c r="M42" s="58">
        <f t="shared" si="4"/>
        <v>0</v>
      </c>
      <c r="N42" s="58">
        <f t="shared" si="4"/>
        <v>0</v>
      </c>
      <c r="O42" s="58">
        <f t="shared" si="4"/>
        <v>0</v>
      </c>
      <c r="P42" s="58">
        <f t="shared" si="4"/>
        <v>0</v>
      </c>
      <c r="Q42" s="59">
        <f t="shared" si="4"/>
        <v>0</v>
      </c>
      <c r="R42" s="58">
        <f t="shared" si="4"/>
        <v>0</v>
      </c>
      <c r="S42" s="58">
        <f t="shared" si="4"/>
        <v>1800</v>
      </c>
      <c r="T42" s="58">
        <f t="shared" si="4"/>
        <v>0</v>
      </c>
      <c r="U42" s="58">
        <f t="shared" si="4"/>
        <v>0</v>
      </c>
      <c r="V42" s="58">
        <f t="shared" si="4"/>
        <v>0</v>
      </c>
      <c r="W42" s="58">
        <f t="shared" si="4"/>
        <v>0</v>
      </c>
      <c r="X42" s="58">
        <f t="shared" si="4"/>
        <v>0</v>
      </c>
      <c r="Y42" s="58">
        <f t="shared" si="4"/>
        <v>0</v>
      </c>
      <c r="Z42" s="58">
        <f t="shared" si="4"/>
        <v>0</v>
      </c>
      <c r="AA42" s="58">
        <f t="shared" si="4"/>
        <v>0</v>
      </c>
      <c r="AB42" s="58">
        <f t="shared" si="4"/>
        <v>1800</v>
      </c>
      <c r="AC42" s="58">
        <f t="shared" si="4"/>
        <v>0</v>
      </c>
      <c r="AD42" s="58">
        <f t="shared" si="4"/>
        <v>0</v>
      </c>
      <c r="AE42" s="58">
        <f t="shared" si="4"/>
        <v>0</v>
      </c>
      <c r="AF42" s="58">
        <f t="shared" si="4"/>
        <v>0</v>
      </c>
      <c r="AG42" s="58">
        <f t="shared" si="4"/>
        <v>0</v>
      </c>
      <c r="AH42" s="58">
        <f t="shared" si="4"/>
        <v>0</v>
      </c>
      <c r="AI42" s="58">
        <f t="shared" si="4"/>
        <v>0</v>
      </c>
      <c r="AJ42" s="58">
        <f t="shared" si="4"/>
        <v>0</v>
      </c>
      <c r="AK42" s="58">
        <f t="shared" si="4"/>
        <v>0</v>
      </c>
      <c r="AL42" s="58">
        <f t="shared" si="4"/>
        <v>0</v>
      </c>
      <c r="AM42" s="58">
        <f t="shared" si="4"/>
        <v>0</v>
      </c>
      <c r="AN42" s="58">
        <f t="shared" si="4"/>
        <v>0</v>
      </c>
    </row>
    <row r="43" spans="1:40" x14ac:dyDescent="0.25">
      <c r="A43" s="15" t="s">
        <v>92</v>
      </c>
      <c r="B43" s="15"/>
      <c r="C43" s="15"/>
      <c r="D43" s="18"/>
      <c r="E43" s="18"/>
      <c r="F43" s="19"/>
      <c r="G43" s="19"/>
      <c r="H43" s="19"/>
      <c r="I43" s="20"/>
      <c r="J43" s="18"/>
      <c r="K43" s="19"/>
      <c r="L43" s="19"/>
      <c r="M43" s="19"/>
      <c r="N43" s="19"/>
      <c r="O43" s="19"/>
      <c r="P43" s="19"/>
      <c r="Q43" s="19"/>
      <c r="R43" s="19"/>
      <c r="S43" s="20"/>
      <c r="T43" s="18"/>
      <c r="U43" s="19"/>
      <c r="V43" s="19"/>
      <c r="W43" s="19"/>
      <c r="X43" s="20"/>
      <c r="Y43" s="19"/>
      <c r="Z43" s="19"/>
      <c r="AA43" s="19"/>
      <c r="AB43" s="19"/>
      <c r="AC43" s="19"/>
      <c r="AD43" s="19"/>
      <c r="AE43" s="18"/>
      <c r="AF43" s="19"/>
      <c r="AG43" s="19"/>
      <c r="AH43" s="20"/>
      <c r="AI43" s="18"/>
      <c r="AJ43" s="19"/>
      <c r="AK43" s="19"/>
      <c r="AL43" s="19"/>
      <c r="AM43" s="19"/>
      <c r="AN43" s="20"/>
    </row>
    <row r="44" spans="1:40" x14ac:dyDescent="0.25">
      <c r="A44" t="s">
        <v>93</v>
      </c>
      <c r="B44" t="s">
        <v>94</v>
      </c>
      <c r="D44" s="22">
        <f>SUM(E44:AN44)</f>
        <v>0</v>
      </c>
      <c r="E44" s="58">
        <v>0</v>
      </c>
      <c r="F44" s="58">
        <v>0</v>
      </c>
      <c r="G44" s="58">
        <v>0</v>
      </c>
      <c r="H44" s="58">
        <v>0</v>
      </c>
      <c r="I44" s="60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/>
      <c r="R44" s="58">
        <v>0</v>
      </c>
      <c r="S44" s="60">
        <v>0</v>
      </c>
      <c r="T44" s="58">
        <v>0</v>
      </c>
      <c r="U44" s="58">
        <v>0</v>
      </c>
      <c r="V44" s="58">
        <v>0</v>
      </c>
      <c r="W44" s="58">
        <v>0</v>
      </c>
      <c r="X44" s="60">
        <v>0</v>
      </c>
      <c r="Y44" s="61">
        <v>0</v>
      </c>
      <c r="Z44" s="58">
        <v>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58">
        <v>0</v>
      </c>
      <c r="AH44" s="60">
        <v>0</v>
      </c>
      <c r="AI44" s="58">
        <v>0</v>
      </c>
      <c r="AJ44" s="58">
        <v>0</v>
      </c>
      <c r="AK44" s="58">
        <v>0</v>
      </c>
      <c r="AL44" s="58">
        <v>0</v>
      </c>
      <c r="AM44" s="58">
        <v>0</v>
      </c>
      <c r="AN44" s="60">
        <v>0</v>
      </c>
    </row>
    <row r="45" spans="1:40" x14ac:dyDescent="0.25">
      <c r="A45" s="15" t="s">
        <v>95</v>
      </c>
      <c r="B45" s="37"/>
      <c r="C45" s="37"/>
      <c r="D45" s="38"/>
      <c r="E45" s="38"/>
      <c r="F45" s="62"/>
      <c r="G45" s="62"/>
      <c r="H45" s="62"/>
      <c r="I45" s="63"/>
      <c r="J45" s="38"/>
      <c r="K45" s="62"/>
      <c r="L45" s="62"/>
      <c r="M45" s="62"/>
      <c r="N45" s="62"/>
      <c r="O45" s="62"/>
      <c r="P45" s="62"/>
      <c r="Q45" s="62"/>
      <c r="R45" s="62"/>
      <c r="S45" s="63"/>
      <c r="T45" s="38"/>
      <c r="U45" s="62"/>
      <c r="V45" s="62"/>
      <c r="W45" s="62"/>
      <c r="X45" s="63"/>
      <c r="Y45" s="63"/>
      <c r="Z45" s="63"/>
      <c r="AA45" s="63"/>
      <c r="AB45" s="63"/>
      <c r="AC45" s="63"/>
      <c r="AD45" s="62"/>
      <c r="AE45" s="64"/>
      <c r="AF45" s="63"/>
      <c r="AG45" s="63"/>
      <c r="AH45" s="63"/>
      <c r="AI45" s="64"/>
      <c r="AJ45" s="63"/>
      <c r="AK45" s="63"/>
      <c r="AL45" s="63"/>
      <c r="AM45" s="63"/>
      <c r="AN45" s="63"/>
    </row>
    <row r="46" spans="1:40" x14ac:dyDescent="0.25">
      <c r="D46" s="22">
        <f>SUM(E46:AN46)</f>
        <v>0</v>
      </c>
      <c r="E46" s="58">
        <v>0</v>
      </c>
      <c r="F46" s="58">
        <v>0</v>
      </c>
      <c r="G46" s="58">
        <v>0</v>
      </c>
      <c r="H46" s="58">
        <v>0</v>
      </c>
      <c r="I46" s="60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/>
      <c r="R46" s="58">
        <v>0</v>
      </c>
      <c r="S46" s="60">
        <v>0</v>
      </c>
      <c r="T46" s="58">
        <f>T44</f>
        <v>0</v>
      </c>
      <c r="U46" s="58">
        <f t="shared" ref="U46:AN46" si="5">U44</f>
        <v>0</v>
      </c>
      <c r="V46" s="58">
        <f t="shared" si="5"/>
        <v>0</v>
      </c>
      <c r="W46" s="58">
        <f t="shared" si="5"/>
        <v>0</v>
      </c>
      <c r="X46" s="60">
        <f t="shared" si="5"/>
        <v>0</v>
      </c>
      <c r="Y46" s="61">
        <f t="shared" si="5"/>
        <v>0</v>
      </c>
      <c r="Z46" s="58">
        <f t="shared" si="5"/>
        <v>0</v>
      </c>
      <c r="AA46" s="58">
        <f t="shared" si="5"/>
        <v>0</v>
      </c>
      <c r="AB46" s="58">
        <f t="shared" si="5"/>
        <v>0</v>
      </c>
      <c r="AC46" s="58">
        <f>AC44</f>
        <v>0</v>
      </c>
      <c r="AD46" s="58">
        <f t="shared" si="5"/>
        <v>0</v>
      </c>
      <c r="AE46" s="58">
        <f t="shared" si="5"/>
        <v>0</v>
      </c>
      <c r="AF46" s="58">
        <f t="shared" si="5"/>
        <v>0</v>
      </c>
      <c r="AG46" s="58">
        <f t="shared" si="5"/>
        <v>0</v>
      </c>
      <c r="AH46" s="60">
        <f t="shared" si="5"/>
        <v>0</v>
      </c>
      <c r="AI46" s="58">
        <f t="shared" si="5"/>
        <v>0</v>
      </c>
      <c r="AJ46" s="58">
        <f t="shared" si="5"/>
        <v>0</v>
      </c>
      <c r="AK46" s="58">
        <f t="shared" si="5"/>
        <v>0</v>
      </c>
      <c r="AL46" s="58">
        <f t="shared" si="5"/>
        <v>0</v>
      </c>
      <c r="AM46" s="58">
        <f t="shared" si="5"/>
        <v>0</v>
      </c>
      <c r="AN46" s="60">
        <f t="shared" si="5"/>
        <v>0</v>
      </c>
    </row>
    <row r="47" spans="1:40" x14ac:dyDescent="0.25">
      <c r="A47" s="15" t="s">
        <v>96</v>
      </c>
      <c r="B47" s="15"/>
      <c r="C47" s="15"/>
      <c r="D47" s="18"/>
      <c r="E47" s="18"/>
      <c r="F47" s="19"/>
      <c r="G47" s="19"/>
      <c r="H47" s="19"/>
      <c r="I47" s="20"/>
      <c r="J47" s="18"/>
      <c r="K47" s="19"/>
      <c r="L47" s="19"/>
      <c r="M47" s="19"/>
      <c r="N47" s="19"/>
      <c r="O47" s="19"/>
      <c r="P47" s="19"/>
      <c r="Q47" s="19"/>
      <c r="R47" s="19"/>
      <c r="S47" s="20"/>
      <c r="T47" s="18"/>
      <c r="U47" s="19"/>
      <c r="V47" s="19"/>
      <c r="W47" s="19"/>
      <c r="X47" s="20"/>
      <c r="Y47" s="20"/>
      <c r="Z47" s="20"/>
      <c r="AA47" s="20"/>
      <c r="AB47" s="20"/>
      <c r="AC47" s="20"/>
      <c r="AD47" s="19"/>
      <c r="AE47" s="43"/>
      <c r="AF47" s="20"/>
      <c r="AG47" s="20"/>
      <c r="AH47" s="20"/>
      <c r="AI47" s="43"/>
      <c r="AJ47" s="20"/>
      <c r="AK47" s="20"/>
      <c r="AL47" s="20"/>
      <c r="AM47" s="20"/>
      <c r="AN47" s="20"/>
    </row>
    <row r="48" spans="1:40" x14ac:dyDescent="0.25">
      <c r="A48" s="27" t="s">
        <v>97</v>
      </c>
      <c r="B48" s="27"/>
      <c r="C48" s="27"/>
      <c r="D48" s="22">
        <f>SUM(E48:AN48)</f>
        <v>8300</v>
      </c>
      <c r="E48" s="65">
        <f>GETPIVOTDATA("12mo Subtotal PY8",'[1]PY8 Pivots'!$A$84,"L3","1.1.1")</f>
        <v>7800</v>
      </c>
      <c r="F48" s="31">
        <v>0</v>
      </c>
      <c r="G48" s="31">
        <v>0</v>
      </c>
      <c r="H48" s="31">
        <v>0</v>
      </c>
      <c r="I48" s="31">
        <v>0</v>
      </c>
      <c r="J48" s="31">
        <f>GETPIVOTDATA("12mo Subtotal PY8",'[1]PY8 Pivots'!$A$84,"L3","1.2.1")</f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GETPIVOTDATA("12mo Subtotal PY8",'[1]PY8 Pivots'!$A$84,"L3","1.2.7")</f>
        <v>0</v>
      </c>
      <c r="Q48" s="31">
        <f>GETPIVOTDATA("12mo Subtotal PY8",'[1]PY8 Pivots'!$A$84,"L3","1.2.8")</f>
        <v>0</v>
      </c>
      <c r="R48" s="31">
        <v>0</v>
      </c>
      <c r="S48" s="31">
        <f>GETPIVOTDATA("12mo Subtotal PY8",'[1]PY8 Pivots'!$A$84,"L3","1.2.10")</f>
        <v>0</v>
      </c>
      <c r="T48" s="31">
        <v>0</v>
      </c>
      <c r="U48" s="31">
        <v>0</v>
      </c>
      <c r="V48" s="31">
        <f>GETPIVOTDATA("12mo Subtotal PY8",'[1]PY8 Pivots'!$A$84,"L3","1.3.3")</f>
        <v>0</v>
      </c>
      <c r="W48" s="31">
        <v>0</v>
      </c>
      <c r="X48" s="31">
        <v>0</v>
      </c>
      <c r="Y48" s="31">
        <v>0</v>
      </c>
      <c r="Z48" s="31">
        <f>GETPIVOTDATA("12mo Subtotal PY8",'[1]PY8 Pivots'!$A$84,"L3","1.4.2")</f>
        <v>250</v>
      </c>
      <c r="AA48" s="31">
        <v>0</v>
      </c>
      <c r="AB48" s="31">
        <f>GETPIVOTDATA("12mo Subtotal PY8",'[1]PY8 Pivots'!$A$84,"L3","1.4.4")</f>
        <v>250</v>
      </c>
      <c r="AC48" s="31">
        <v>0</v>
      </c>
      <c r="AD48" s="31">
        <v>0</v>
      </c>
      <c r="AE48" s="31">
        <v>0</v>
      </c>
      <c r="AF48" s="31">
        <v>0</v>
      </c>
      <c r="AG48" s="31">
        <f>GETPIVOTDATA("12mo Subtotal PY8",'[1]PY8 Pivots'!$A$84,"L3","1.5.3")</f>
        <v>0</v>
      </c>
      <c r="AH48" s="31">
        <v>0</v>
      </c>
      <c r="AI48" s="31">
        <f>GETPIVOTDATA("12mo Subtotal PY8",'[1]PY8 Pivots'!$A$84,"L3","1.6.0")</f>
        <v>0</v>
      </c>
      <c r="AJ48" s="31">
        <f>GETPIVOTDATA("12mo Subtotal PY8",'[1]PY8 Pivots'!$A$84,"L3","1.6.1")</f>
        <v>0</v>
      </c>
      <c r="AK48" s="31">
        <v>0</v>
      </c>
      <c r="AL48" s="31">
        <v>0</v>
      </c>
      <c r="AM48" s="31">
        <f>GETPIVOTDATA("12mo Subtotal PY8",'[1]PY8 Pivots'!$A$84,"L3","1.6.4")</f>
        <v>0</v>
      </c>
      <c r="AN48" s="31">
        <v>0</v>
      </c>
    </row>
    <row r="49" spans="1:40" x14ac:dyDescent="0.25">
      <c r="A49" t="s">
        <v>98</v>
      </c>
      <c r="D49" s="22">
        <f>SUM(E49:AN49)</f>
        <v>0</v>
      </c>
      <c r="E49" s="66">
        <v>0</v>
      </c>
      <c r="F49" s="61">
        <v>0</v>
      </c>
      <c r="G49" s="61">
        <v>0</v>
      </c>
      <c r="H49" s="61">
        <v>0</v>
      </c>
      <c r="I49" s="67">
        <v>0</v>
      </c>
      <c r="J49" s="58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/>
      <c r="R49" s="61">
        <v>0</v>
      </c>
      <c r="S49" s="67">
        <v>0</v>
      </c>
      <c r="T49" s="58">
        <v>0</v>
      </c>
      <c r="U49" s="58">
        <v>0</v>
      </c>
      <c r="V49" s="58">
        <v>0</v>
      </c>
      <c r="W49" s="58">
        <v>0</v>
      </c>
      <c r="X49" s="60">
        <v>0</v>
      </c>
      <c r="Y49" s="61">
        <v>0</v>
      </c>
      <c r="Z49" s="58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0</v>
      </c>
      <c r="AG49" s="58">
        <v>0</v>
      </c>
      <c r="AH49" s="60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0</v>
      </c>
      <c r="AN49" s="60">
        <v>0</v>
      </c>
    </row>
    <row r="50" spans="1:40" x14ac:dyDescent="0.25">
      <c r="A50" t="s">
        <v>99</v>
      </c>
      <c r="D50" s="22">
        <f>SUM(E50:AN50)</f>
        <v>0</v>
      </c>
      <c r="E50" s="66">
        <v>0</v>
      </c>
      <c r="F50" s="61">
        <v>0</v>
      </c>
      <c r="G50" s="61">
        <v>0</v>
      </c>
      <c r="H50" s="61">
        <v>0</v>
      </c>
      <c r="I50" s="67">
        <v>0</v>
      </c>
      <c r="J50" s="58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0</v>
      </c>
      <c r="Q50" s="61"/>
      <c r="R50" s="61">
        <v>0</v>
      </c>
      <c r="S50" s="67">
        <v>0</v>
      </c>
      <c r="T50" s="58">
        <v>0</v>
      </c>
      <c r="U50" s="58">
        <v>0</v>
      </c>
      <c r="V50" s="58">
        <v>0</v>
      </c>
      <c r="W50" s="58">
        <v>0</v>
      </c>
      <c r="X50" s="60">
        <v>0</v>
      </c>
      <c r="Y50" s="61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  <c r="AH50" s="60">
        <v>0</v>
      </c>
      <c r="AI50" s="58">
        <v>0</v>
      </c>
      <c r="AJ50" s="58">
        <v>0</v>
      </c>
      <c r="AK50" s="58">
        <v>0</v>
      </c>
      <c r="AL50" s="58">
        <v>0</v>
      </c>
      <c r="AM50" s="58">
        <v>0</v>
      </c>
      <c r="AN50" s="60">
        <v>0</v>
      </c>
    </row>
    <row r="51" spans="1:40" x14ac:dyDescent="0.25">
      <c r="A51" t="s">
        <v>100</v>
      </c>
      <c r="D51" s="22">
        <f>SUM(E51:AN51)</f>
        <v>0</v>
      </c>
      <c r="E51" s="66">
        <v>0</v>
      </c>
      <c r="F51" s="61">
        <v>0</v>
      </c>
      <c r="G51" s="61">
        <v>0</v>
      </c>
      <c r="H51" s="61">
        <v>0</v>
      </c>
      <c r="I51" s="67">
        <v>0</v>
      </c>
      <c r="J51" s="58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/>
      <c r="R51" s="61">
        <v>0</v>
      </c>
      <c r="S51" s="67">
        <v>0</v>
      </c>
      <c r="T51" s="58">
        <v>0</v>
      </c>
      <c r="U51" s="58">
        <v>0</v>
      </c>
      <c r="V51" s="58">
        <v>0</v>
      </c>
      <c r="W51" s="58">
        <v>0</v>
      </c>
      <c r="X51" s="60">
        <v>0</v>
      </c>
      <c r="Y51" s="61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60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60">
        <v>0</v>
      </c>
    </row>
    <row r="52" spans="1:40" x14ac:dyDescent="0.25">
      <c r="A52" t="s">
        <v>101</v>
      </c>
      <c r="D52" s="22">
        <f>SUM(E52:AN52)</f>
        <v>0</v>
      </c>
      <c r="E52" s="66">
        <v>0</v>
      </c>
      <c r="F52" s="61">
        <v>0</v>
      </c>
      <c r="G52" s="61">
        <v>0</v>
      </c>
      <c r="H52" s="61">
        <v>0</v>
      </c>
      <c r="I52" s="67">
        <v>0</v>
      </c>
      <c r="J52" s="58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/>
      <c r="R52" s="61">
        <v>0</v>
      </c>
      <c r="S52" s="67">
        <v>0</v>
      </c>
      <c r="T52" s="58">
        <v>0</v>
      </c>
      <c r="U52" s="58">
        <v>0</v>
      </c>
      <c r="V52" s="58">
        <v>0</v>
      </c>
      <c r="W52" s="58">
        <v>0</v>
      </c>
      <c r="X52" s="60">
        <v>0</v>
      </c>
      <c r="Y52" s="61">
        <v>0</v>
      </c>
      <c r="Z52" s="58">
        <v>0</v>
      </c>
      <c r="AA52" s="58">
        <v>0</v>
      </c>
      <c r="AB52" s="58">
        <v>0</v>
      </c>
      <c r="AC52" s="58">
        <v>0</v>
      </c>
      <c r="AD52" s="58">
        <v>0</v>
      </c>
      <c r="AE52" s="58">
        <v>0</v>
      </c>
      <c r="AF52" s="58">
        <v>0</v>
      </c>
      <c r="AG52" s="58">
        <v>0</v>
      </c>
      <c r="AH52" s="60">
        <v>0</v>
      </c>
      <c r="AI52" s="58">
        <v>0</v>
      </c>
      <c r="AJ52" s="58">
        <v>0</v>
      </c>
      <c r="AK52" s="58">
        <v>0</v>
      </c>
      <c r="AL52" s="58">
        <v>0</v>
      </c>
      <c r="AM52" s="58">
        <v>0</v>
      </c>
      <c r="AN52" s="60">
        <v>0</v>
      </c>
    </row>
    <row r="53" spans="1:40" x14ac:dyDescent="0.25">
      <c r="A53" s="15" t="s">
        <v>102</v>
      </c>
      <c r="B53" s="37"/>
      <c r="C53" s="37"/>
      <c r="D53" s="38"/>
      <c r="E53" s="38"/>
      <c r="F53" s="62"/>
      <c r="G53" s="62"/>
      <c r="H53" s="62"/>
      <c r="I53" s="63"/>
      <c r="J53" s="38"/>
      <c r="K53" s="62"/>
      <c r="L53" s="62"/>
      <c r="M53" s="62"/>
      <c r="N53" s="62"/>
      <c r="O53" s="62"/>
      <c r="P53" s="62"/>
      <c r="Q53" s="62"/>
      <c r="R53" s="62"/>
      <c r="S53" s="63"/>
      <c r="T53" s="38"/>
      <c r="U53" s="62"/>
      <c r="V53" s="62"/>
      <c r="W53" s="62"/>
      <c r="X53" s="63"/>
      <c r="Y53" s="63"/>
      <c r="Z53" s="63"/>
      <c r="AA53" s="63"/>
      <c r="AB53" s="63"/>
      <c r="AC53" s="63"/>
      <c r="AD53" s="62"/>
      <c r="AE53" s="64"/>
      <c r="AF53" s="63"/>
      <c r="AG53" s="63"/>
      <c r="AH53" s="63"/>
      <c r="AI53" s="64"/>
      <c r="AJ53" s="63"/>
      <c r="AK53" s="63"/>
      <c r="AL53" s="63"/>
      <c r="AM53" s="63"/>
      <c r="AN53" s="63"/>
    </row>
    <row r="54" spans="1:40" x14ac:dyDescent="0.25">
      <c r="D54" s="50">
        <f>SUM(E54:AN54)</f>
        <v>8300</v>
      </c>
      <c r="E54" s="13">
        <f>SUM(E48:E52)</f>
        <v>7800</v>
      </c>
      <c r="F54" s="13">
        <f t="shared" ref="F54:AN54" si="6">SUM(F48:F52)</f>
        <v>0</v>
      </c>
      <c r="G54" s="13">
        <f t="shared" si="6"/>
        <v>0</v>
      </c>
      <c r="H54" s="13">
        <f t="shared" si="6"/>
        <v>0</v>
      </c>
      <c r="I54" s="13">
        <f t="shared" si="6"/>
        <v>0</v>
      </c>
      <c r="J54" s="13">
        <f t="shared" si="6"/>
        <v>0</v>
      </c>
      <c r="K54" s="13">
        <f t="shared" si="6"/>
        <v>0</v>
      </c>
      <c r="L54" s="13">
        <f t="shared" si="6"/>
        <v>0</v>
      </c>
      <c r="M54" s="13">
        <f t="shared" si="6"/>
        <v>0</v>
      </c>
      <c r="N54" s="13">
        <f t="shared" si="6"/>
        <v>0</v>
      </c>
      <c r="O54" s="13">
        <f t="shared" si="6"/>
        <v>0</v>
      </c>
      <c r="P54" s="13">
        <f t="shared" si="6"/>
        <v>0</v>
      </c>
      <c r="Q54" s="13">
        <f t="shared" si="6"/>
        <v>0</v>
      </c>
      <c r="R54" s="13">
        <f t="shared" si="6"/>
        <v>0</v>
      </c>
      <c r="S54" s="13">
        <f t="shared" si="6"/>
        <v>0</v>
      </c>
      <c r="T54" s="13">
        <f t="shared" si="6"/>
        <v>0</v>
      </c>
      <c r="U54" s="13">
        <f t="shared" si="6"/>
        <v>0</v>
      </c>
      <c r="V54" s="13">
        <f t="shared" si="6"/>
        <v>0</v>
      </c>
      <c r="W54" s="13">
        <f t="shared" si="6"/>
        <v>0</v>
      </c>
      <c r="X54" s="13">
        <f t="shared" si="6"/>
        <v>0</v>
      </c>
      <c r="Y54" s="13">
        <f t="shared" si="6"/>
        <v>0</v>
      </c>
      <c r="Z54" s="13">
        <f t="shared" si="6"/>
        <v>250</v>
      </c>
      <c r="AA54" s="13">
        <f t="shared" si="6"/>
        <v>0</v>
      </c>
      <c r="AB54" s="13">
        <f t="shared" si="6"/>
        <v>250</v>
      </c>
      <c r="AC54" s="13">
        <f t="shared" si="6"/>
        <v>0</v>
      </c>
      <c r="AD54" s="13">
        <f t="shared" si="6"/>
        <v>0</v>
      </c>
      <c r="AE54" s="13">
        <f t="shared" si="6"/>
        <v>0</v>
      </c>
      <c r="AF54" s="13">
        <f t="shared" si="6"/>
        <v>0</v>
      </c>
      <c r="AG54" s="13">
        <f t="shared" si="6"/>
        <v>0</v>
      </c>
      <c r="AH54" s="13">
        <f t="shared" si="6"/>
        <v>0</v>
      </c>
      <c r="AI54" s="13">
        <f t="shared" si="6"/>
        <v>0</v>
      </c>
      <c r="AJ54" s="13">
        <f t="shared" si="6"/>
        <v>0</v>
      </c>
      <c r="AK54" s="13">
        <f t="shared" si="6"/>
        <v>0</v>
      </c>
      <c r="AL54" s="13">
        <f t="shared" si="6"/>
        <v>0</v>
      </c>
      <c r="AM54" s="13">
        <f t="shared" si="6"/>
        <v>0</v>
      </c>
      <c r="AN54" s="13">
        <f t="shared" si="6"/>
        <v>0</v>
      </c>
    </row>
    <row r="55" spans="1:40" x14ac:dyDescent="0.25">
      <c r="A55" s="15" t="s">
        <v>103</v>
      </c>
      <c r="B55" s="37"/>
      <c r="C55" s="37"/>
      <c r="D55" s="38"/>
      <c r="E55" s="38"/>
      <c r="F55" s="62"/>
      <c r="G55" s="62"/>
      <c r="H55" s="62"/>
      <c r="I55" s="63"/>
      <c r="J55" s="38"/>
      <c r="K55" s="62"/>
      <c r="L55" s="62"/>
      <c r="M55" s="62"/>
      <c r="N55" s="62"/>
      <c r="O55" s="62"/>
      <c r="P55" s="62"/>
      <c r="Q55" s="62"/>
      <c r="R55" s="62"/>
      <c r="S55" s="63"/>
      <c r="T55" s="38"/>
      <c r="U55" s="62"/>
      <c r="V55" s="62"/>
      <c r="W55" s="62"/>
      <c r="X55" s="63"/>
      <c r="Y55" s="63"/>
      <c r="Z55" s="63"/>
      <c r="AA55" s="63"/>
      <c r="AB55" s="63"/>
      <c r="AC55" s="63"/>
      <c r="AD55" s="62"/>
      <c r="AE55" s="64"/>
      <c r="AF55" s="63"/>
      <c r="AG55" s="63"/>
      <c r="AH55" s="63"/>
      <c r="AI55" s="64"/>
      <c r="AJ55" s="63"/>
      <c r="AK55" s="63"/>
      <c r="AL55" s="63"/>
      <c r="AM55" s="63"/>
      <c r="AN55" s="63"/>
    </row>
    <row r="56" spans="1:40" x14ac:dyDescent="0.25">
      <c r="A56" s="68"/>
      <c r="B56" s="68"/>
      <c r="C56" s="68"/>
      <c r="D56" s="69"/>
      <c r="E56" s="69"/>
      <c r="F56" s="70"/>
      <c r="G56" s="70"/>
      <c r="H56" s="70"/>
      <c r="I56" s="71"/>
      <c r="J56" s="69"/>
      <c r="K56" s="70"/>
      <c r="L56" s="70"/>
      <c r="M56" s="70"/>
      <c r="N56" s="70"/>
      <c r="O56" s="70"/>
      <c r="P56" s="70"/>
      <c r="Q56" s="70"/>
      <c r="R56" s="70"/>
      <c r="S56" s="71"/>
      <c r="T56" s="69"/>
      <c r="U56" s="70"/>
      <c r="V56" s="70"/>
      <c r="W56" s="70"/>
      <c r="X56" s="71"/>
      <c r="Y56" s="71"/>
      <c r="Z56" s="71"/>
      <c r="AA56" s="71"/>
      <c r="AB56" s="71"/>
      <c r="AC56" s="71"/>
      <c r="AD56" s="70"/>
      <c r="AE56" s="72"/>
      <c r="AF56" s="71"/>
      <c r="AG56" s="71"/>
      <c r="AH56" s="71"/>
      <c r="AI56" s="72"/>
      <c r="AJ56" s="71"/>
      <c r="AK56" s="71"/>
      <c r="AL56" s="71"/>
      <c r="AM56" s="71"/>
      <c r="AN56" s="71"/>
    </row>
    <row r="57" spans="1:40" x14ac:dyDescent="0.25">
      <c r="A57" t="s">
        <v>104</v>
      </c>
      <c r="D57" s="22">
        <f>SUM(E57:AN57)</f>
        <v>0</v>
      </c>
      <c r="E57" s="58">
        <v>0</v>
      </c>
      <c r="F57" s="58">
        <v>0</v>
      </c>
      <c r="G57" s="58">
        <v>0</v>
      </c>
      <c r="H57" s="58">
        <v>0</v>
      </c>
      <c r="I57" s="60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/>
      <c r="R57" s="58">
        <v>0</v>
      </c>
      <c r="S57" s="60">
        <v>0</v>
      </c>
      <c r="T57" s="58">
        <v>0</v>
      </c>
      <c r="U57" s="58">
        <v>0</v>
      </c>
      <c r="V57" s="58">
        <v>0</v>
      </c>
      <c r="W57" s="58">
        <v>0</v>
      </c>
      <c r="X57" s="60">
        <v>0</v>
      </c>
      <c r="Y57" s="61">
        <v>0</v>
      </c>
      <c r="Z57" s="58">
        <v>0</v>
      </c>
      <c r="AA57" s="58">
        <v>0</v>
      </c>
      <c r="AB57" s="58">
        <v>0</v>
      </c>
      <c r="AC57" s="58">
        <v>0</v>
      </c>
      <c r="AD57" s="58">
        <v>0</v>
      </c>
      <c r="AE57" s="58">
        <v>0</v>
      </c>
      <c r="AF57" s="58">
        <v>0</v>
      </c>
      <c r="AG57" s="58">
        <v>0</v>
      </c>
      <c r="AH57" s="60">
        <v>0</v>
      </c>
      <c r="AI57" s="58">
        <v>0</v>
      </c>
      <c r="AJ57" s="58">
        <v>0</v>
      </c>
      <c r="AK57" s="58">
        <v>0</v>
      </c>
      <c r="AL57" s="58">
        <v>0</v>
      </c>
      <c r="AM57" s="58">
        <v>0</v>
      </c>
      <c r="AN57" s="60">
        <v>0</v>
      </c>
    </row>
    <row r="58" spans="1:40" x14ac:dyDescent="0.25">
      <c r="A58" t="s">
        <v>105</v>
      </c>
      <c r="D58" s="22">
        <f>SUM(E58:AN58)</f>
        <v>0</v>
      </c>
      <c r="E58" s="58">
        <v>0</v>
      </c>
      <c r="F58" s="58">
        <v>0</v>
      </c>
      <c r="G58" s="58">
        <v>0</v>
      </c>
      <c r="H58" s="58">
        <v>0</v>
      </c>
      <c r="I58" s="60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/>
      <c r="R58" s="58">
        <v>0</v>
      </c>
      <c r="S58" s="60">
        <v>0</v>
      </c>
      <c r="T58" s="58">
        <v>0</v>
      </c>
      <c r="U58" s="58">
        <v>0</v>
      </c>
      <c r="V58" s="58">
        <v>0</v>
      </c>
      <c r="W58" s="58">
        <v>0</v>
      </c>
      <c r="X58" s="60">
        <v>0</v>
      </c>
      <c r="Y58" s="61">
        <v>0</v>
      </c>
      <c r="Z58" s="58">
        <v>0</v>
      </c>
      <c r="AA58" s="58">
        <v>0</v>
      </c>
      <c r="AB58" s="58">
        <v>0</v>
      </c>
      <c r="AC58" s="58">
        <v>0</v>
      </c>
      <c r="AD58" s="58">
        <v>0</v>
      </c>
      <c r="AE58" s="58">
        <v>0</v>
      </c>
      <c r="AF58" s="58">
        <v>0</v>
      </c>
      <c r="AG58" s="58">
        <v>0</v>
      </c>
      <c r="AH58" s="60">
        <v>0</v>
      </c>
      <c r="AI58" s="58">
        <v>0</v>
      </c>
      <c r="AJ58" s="58">
        <v>0</v>
      </c>
      <c r="AK58" s="58">
        <v>0</v>
      </c>
      <c r="AL58" s="58">
        <v>0</v>
      </c>
      <c r="AM58" s="58">
        <v>0</v>
      </c>
      <c r="AN58" s="60">
        <v>0</v>
      </c>
    </row>
    <row r="59" spans="1:40" x14ac:dyDescent="0.25">
      <c r="A59" t="s">
        <v>106</v>
      </c>
      <c r="D59" s="22">
        <f>SUM(E59:AN59)</f>
        <v>0</v>
      </c>
      <c r="E59" s="58">
        <v>0</v>
      </c>
      <c r="F59" s="58">
        <v>0</v>
      </c>
      <c r="G59" s="58">
        <v>0</v>
      </c>
      <c r="H59" s="58">
        <v>0</v>
      </c>
      <c r="I59" s="60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/>
      <c r="R59" s="58">
        <v>0</v>
      </c>
      <c r="S59" s="60">
        <v>0</v>
      </c>
      <c r="T59" s="58">
        <v>0</v>
      </c>
      <c r="U59" s="58">
        <v>0</v>
      </c>
      <c r="V59" s="58">
        <v>0</v>
      </c>
      <c r="W59" s="58">
        <v>0</v>
      </c>
      <c r="X59" s="60">
        <v>0</v>
      </c>
      <c r="Y59" s="61">
        <v>0</v>
      </c>
      <c r="Z59" s="58">
        <v>0</v>
      </c>
      <c r="AA59" s="58">
        <v>0</v>
      </c>
      <c r="AB59" s="58">
        <v>0</v>
      </c>
      <c r="AC59" s="58">
        <v>0</v>
      </c>
      <c r="AD59" s="58">
        <v>0</v>
      </c>
      <c r="AE59" s="58">
        <v>0</v>
      </c>
      <c r="AF59" s="58">
        <v>0</v>
      </c>
      <c r="AG59" s="58">
        <v>0</v>
      </c>
      <c r="AH59" s="60">
        <v>0</v>
      </c>
      <c r="AI59" s="58">
        <v>0</v>
      </c>
      <c r="AJ59" s="58">
        <v>0</v>
      </c>
      <c r="AK59" s="58">
        <v>0</v>
      </c>
      <c r="AL59" s="58">
        <v>0</v>
      </c>
      <c r="AM59" s="58">
        <v>0</v>
      </c>
      <c r="AN59" s="60">
        <v>0</v>
      </c>
    </row>
    <row r="60" spans="1:40" x14ac:dyDescent="0.25">
      <c r="A60" t="s">
        <v>107</v>
      </c>
      <c r="D60" s="22">
        <f>SUM(E60:AN60)</f>
        <v>0</v>
      </c>
      <c r="E60" s="58">
        <v>0</v>
      </c>
      <c r="F60" s="58">
        <v>0</v>
      </c>
      <c r="G60" s="58">
        <v>0</v>
      </c>
      <c r="H60" s="58">
        <v>0</v>
      </c>
      <c r="I60" s="60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/>
      <c r="R60" s="58">
        <v>0</v>
      </c>
      <c r="S60" s="60">
        <v>0</v>
      </c>
      <c r="T60" s="58">
        <v>0</v>
      </c>
      <c r="U60" s="58">
        <v>0</v>
      </c>
      <c r="V60" s="58">
        <v>0</v>
      </c>
      <c r="W60" s="58">
        <v>0</v>
      </c>
      <c r="X60" s="60">
        <v>0</v>
      </c>
      <c r="Y60" s="61">
        <v>0</v>
      </c>
      <c r="Z60" s="58">
        <v>0</v>
      </c>
      <c r="AA60" s="58">
        <v>0</v>
      </c>
      <c r="AB60" s="58">
        <v>0</v>
      </c>
      <c r="AC60" s="58">
        <v>0</v>
      </c>
      <c r="AD60" s="58">
        <v>0</v>
      </c>
      <c r="AE60" s="58">
        <v>0</v>
      </c>
      <c r="AF60" s="58">
        <v>0</v>
      </c>
      <c r="AG60" s="58">
        <v>0</v>
      </c>
      <c r="AH60" s="60">
        <v>0</v>
      </c>
      <c r="AI60" s="58">
        <v>0</v>
      </c>
      <c r="AJ60" s="58">
        <v>0</v>
      </c>
      <c r="AK60" s="58">
        <v>0</v>
      </c>
      <c r="AL60" s="58">
        <v>0</v>
      </c>
      <c r="AM60" s="58">
        <v>0</v>
      </c>
      <c r="AN60" s="60">
        <v>0</v>
      </c>
    </row>
    <row r="61" spans="1:40" x14ac:dyDescent="0.25">
      <c r="A61" t="s">
        <v>108</v>
      </c>
      <c r="D61" s="22">
        <f>SUM(E61:AN61)</f>
        <v>0</v>
      </c>
      <c r="E61" s="58">
        <v>0</v>
      </c>
      <c r="F61" s="58">
        <v>0</v>
      </c>
      <c r="G61" s="58">
        <v>0</v>
      </c>
      <c r="H61" s="58">
        <v>0</v>
      </c>
      <c r="I61" s="60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/>
      <c r="R61" s="58">
        <v>0</v>
      </c>
      <c r="S61" s="60">
        <v>0</v>
      </c>
      <c r="T61" s="58">
        <v>0</v>
      </c>
      <c r="U61" s="58">
        <v>0</v>
      </c>
      <c r="V61" s="58">
        <v>0</v>
      </c>
      <c r="W61" s="58">
        <v>0</v>
      </c>
      <c r="X61" s="60">
        <v>0</v>
      </c>
      <c r="Y61" s="61">
        <v>0</v>
      </c>
      <c r="Z61" s="58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>
        <v>0</v>
      </c>
      <c r="AH61" s="60">
        <v>0</v>
      </c>
      <c r="AI61" s="58">
        <v>0</v>
      </c>
      <c r="AJ61" s="58">
        <v>0</v>
      </c>
      <c r="AK61" s="58">
        <v>0</v>
      </c>
      <c r="AL61" s="58">
        <v>0</v>
      </c>
      <c r="AM61" s="58">
        <v>0</v>
      </c>
      <c r="AN61" s="60">
        <v>0</v>
      </c>
    </row>
    <row r="62" spans="1:40" x14ac:dyDescent="0.25">
      <c r="A62" s="15" t="s">
        <v>109</v>
      </c>
      <c r="B62" s="37"/>
      <c r="C62" s="37"/>
      <c r="D62" s="38"/>
      <c r="E62" s="38"/>
      <c r="F62" s="62"/>
      <c r="G62" s="62"/>
      <c r="H62" s="62"/>
      <c r="I62" s="63"/>
      <c r="J62" s="38"/>
      <c r="K62" s="62"/>
      <c r="L62" s="62"/>
      <c r="M62" s="62"/>
      <c r="N62" s="62"/>
      <c r="O62" s="62"/>
      <c r="P62" s="62"/>
      <c r="Q62" s="62"/>
      <c r="R62" s="62"/>
      <c r="S62" s="63"/>
      <c r="T62" s="38"/>
      <c r="U62" s="62"/>
      <c r="V62" s="62"/>
      <c r="W62" s="62"/>
      <c r="X62" s="63"/>
      <c r="Y62" s="63"/>
      <c r="Z62" s="63"/>
      <c r="AA62" s="63"/>
      <c r="AB62" s="63"/>
      <c r="AC62" s="63"/>
      <c r="AD62" s="62"/>
      <c r="AE62" s="64"/>
      <c r="AF62" s="63"/>
      <c r="AG62" s="63"/>
      <c r="AH62" s="63"/>
      <c r="AI62" s="64"/>
      <c r="AJ62" s="63"/>
      <c r="AK62" s="63"/>
      <c r="AL62" s="63"/>
      <c r="AM62" s="63"/>
      <c r="AN62" s="63"/>
    </row>
    <row r="63" spans="1:40" x14ac:dyDescent="0.25">
      <c r="D63" s="22">
        <f>SUM(E63:AN63)</f>
        <v>0</v>
      </c>
      <c r="E63" s="13">
        <f>SUM(E57:E61)</f>
        <v>0</v>
      </c>
      <c r="F63" s="13">
        <f t="shared" ref="F63:AN63" si="7">SUM(F57:F61)</f>
        <v>0</v>
      </c>
      <c r="G63" s="13">
        <f t="shared" si="7"/>
        <v>0</v>
      </c>
      <c r="H63" s="13">
        <f t="shared" si="7"/>
        <v>0</v>
      </c>
      <c r="I63" s="73">
        <f t="shared" si="7"/>
        <v>0</v>
      </c>
      <c r="J63" s="13">
        <f t="shared" si="7"/>
        <v>0</v>
      </c>
      <c r="K63" s="13">
        <f t="shared" si="7"/>
        <v>0</v>
      </c>
      <c r="L63" s="13">
        <f t="shared" si="7"/>
        <v>0</v>
      </c>
      <c r="M63" s="13">
        <f t="shared" si="7"/>
        <v>0</v>
      </c>
      <c r="N63" s="13">
        <f t="shared" si="7"/>
        <v>0</v>
      </c>
      <c r="O63" s="13">
        <f t="shared" si="7"/>
        <v>0</v>
      </c>
      <c r="P63" s="13">
        <f t="shared" si="7"/>
        <v>0</v>
      </c>
      <c r="Q63" s="13"/>
      <c r="R63" s="13">
        <f t="shared" si="7"/>
        <v>0</v>
      </c>
      <c r="S63" s="73">
        <f t="shared" si="7"/>
        <v>0</v>
      </c>
      <c r="T63" s="13">
        <f t="shared" si="7"/>
        <v>0</v>
      </c>
      <c r="U63" s="13">
        <f t="shared" si="7"/>
        <v>0</v>
      </c>
      <c r="V63" s="13">
        <f t="shared" si="7"/>
        <v>0</v>
      </c>
      <c r="W63" s="13">
        <f t="shared" si="7"/>
        <v>0</v>
      </c>
      <c r="X63" s="73">
        <f t="shared" si="7"/>
        <v>0</v>
      </c>
      <c r="Y63" s="1">
        <f t="shared" si="7"/>
        <v>0</v>
      </c>
      <c r="Z63" s="13">
        <f t="shared" si="7"/>
        <v>0</v>
      </c>
      <c r="AA63" s="13">
        <f t="shared" si="7"/>
        <v>0</v>
      </c>
      <c r="AB63" s="13">
        <f t="shared" si="7"/>
        <v>0</v>
      </c>
      <c r="AC63" s="13">
        <f t="shared" si="7"/>
        <v>0</v>
      </c>
      <c r="AD63" s="13">
        <f t="shared" si="7"/>
        <v>0</v>
      </c>
      <c r="AE63" s="13">
        <f t="shared" si="7"/>
        <v>0</v>
      </c>
      <c r="AF63" s="13">
        <f t="shared" si="7"/>
        <v>0</v>
      </c>
      <c r="AG63" s="13">
        <f t="shared" si="7"/>
        <v>0</v>
      </c>
      <c r="AH63" s="73">
        <f t="shared" si="7"/>
        <v>0</v>
      </c>
      <c r="AI63" s="13">
        <f t="shared" si="7"/>
        <v>0</v>
      </c>
      <c r="AJ63" s="13">
        <f t="shared" si="7"/>
        <v>0</v>
      </c>
      <c r="AK63" s="13">
        <f t="shared" si="7"/>
        <v>0</v>
      </c>
      <c r="AL63" s="13">
        <f t="shared" si="7"/>
        <v>0</v>
      </c>
      <c r="AM63" s="13">
        <f t="shared" si="7"/>
        <v>0</v>
      </c>
      <c r="AN63" s="73">
        <f t="shared" si="7"/>
        <v>0</v>
      </c>
    </row>
    <row r="64" spans="1:40" x14ac:dyDescent="0.25">
      <c r="A64" t="s">
        <v>110</v>
      </c>
      <c r="D64" s="22">
        <f>SUM(E64:AN64)</f>
        <v>0</v>
      </c>
      <c r="E64" s="58">
        <v>0</v>
      </c>
      <c r="F64" s="58">
        <v>0</v>
      </c>
      <c r="G64" s="58">
        <v>0</v>
      </c>
      <c r="H64" s="58">
        <v>0</v>
      </c>
      <c r="I64" s="60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/>
      <c r="R64" s="58">
        <v>0</v>
      </c>
      <c r="S64" s="60">
        <v>0</v>
      </c>
      <c r="T64" s="58">
        <v>0</v>
      </c>
      <c r="U64" s="58">
        <v>0</v>
      </c>
      <c r="V64" s="58">
        <v>0</v>
      </c>
      <c r="W64" s="58">
        <v>0</v>
      </c>
      <c r="X64" s="60">
        <v>0</v>
      </c>
      <c r="Y64" s="61">
        <v>0</v>
      </c>
      <c r="Z64" s="58">
        <v>0</v>
      </c>
      <c r="AA64" s="58">
        <v>0</v>
      </c>
      <c r="AB64" s="58">
        <v>0</v>
      </c>
      <c r="AC64" s="58">
        <v>0</v>
      </c>
      <c r="AD64" s="58">
        <v>0</v>
      </c>
      <c r="AE64" s="58">
        <v>0</v>
      </c>
      <c r="AF64" s="58">
        <v>0</v>
      </c>
      <c r="AG64" s="58">
        <v>0</v>
      </c>
      <c r="AH64" s="60">
        <v>0</v>
      </c>
      <c r="AI64" s="58">
        <v>0</v>
      </c>
      <c r="AJ64" s="58">
        <v>0</v>
      </c>
      <c r="AK64" s="58">
        <v>0</v>
      </c>
      <c r="AL64" s="58">
        <v>0</v>
      </c>
      <c r="AM64" s="58">
        <v>0</v>
      </c>
      <c r="AN64" s="60">
        <v>0</v>
      </c>
    </row>
    <row r="65" spans="1:40" x14ac:dyDescent="0.25">
      <c r="A65" s="15" t="s">
        <v>111</v>
      </c>
      <c r="B65" s="37"/>
      <c r="C65" s="37"/>
      <c r="D65" s="38"/>
      <c r="E65" s="38"/>
      <c r="F65" s="62"/>
      <c r="G65" s="62"/>
      <c r="H65" s="62"/>
      <c r="I65" s="63"/>
      <c r="J65" s="38"/>
      <c r="K65" s="62"/>
      <c r="L65" s="62"/>
      <c r="M65" s="62"/>
      <c r="N65" s="62"/>
      <c r="O65" s="62"/>
      <c r="P65" s="62"/>
      <c r="Q65" s="62"/>
      <c r="R65" s="62"/>
      <c r="S65" s="63"/>
      <c r="T65" s="38"/>
      <c r="U65" s="62"/>
      <c r="V65" s="62"/>
      <c r="W65" s="62"/>
      <c r="X65" s="63"/>
      <c r="Y65" s="63"/>
      <c r="Z65" s="63"/>
      <c r="AA65" s="63"/>
      <c r="AB65" s="63"/>
      <c r="AC65" s="63"/>
      <c r="AD65" s="62"/>
      <c r="AE65" s="64"/>
      <c r="AF65" s="63"/>
      <c r="AG65" s="63"/>
      <c r="AH65" s="63"/>
      <c r="AI65" s="64"/>
      <c r="AJ65" s="63"/>
      <c r="AK65" s="63"/>
      <c r="AL65" s="63"/>
      <c r="AM65" s="63"/>
      <c r="AN65" s="63"/>
    </row>
    <row r="66" spans="1:40" x14ac:dyDescent="0.25">
      <c r="D66" s="22">
        <f>SUM(E66:AN66)</f>
        <v>0</v>
      </c>
      <c r="E66" s="31">
        <v>0</v>
      </c>
      <c r="F66" s="31">
        <v>0</v>
      </c>
      <c r="G66" s="31">
        <v>0</v>
      </c>
      <c r="H66" s="31">
        <v>0</v>
      </c>
      <c r="I66" s="32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/>
      <c r="R66" s="31">
        <v>0</v>
      </c>
      <c r="S66" s="32">
        <v>0</v>
      </c>
      <c r="T66" s="31">
        <v>0</v>
      </c>
      <c r="U66" s="31">
        <v>0</v>
      </c>
      <c r="V66" s="31">
        <v>0</v>
      </c>
      <c r="W66" s="31">
        <v>0</v>
      </c>
      <c r="X66" s="32">
        <v>0</v>
      </c>
      <c r="Y66" s="29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2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2">
        <v>0</v>
      </c>
    </row>
    <row r="67" spans="1:40" x14ac:dyDescent="0.25">
      <c r="A67" t="s">
        <v>112</v>
      </c>
      <c r="B67" s="98"/>
      <c r="C67" s="99"/>
      <c r="D67" s="55"/>
      <c r="E67" s="23"/>
      <c r="F67" s="24"/>
      <c r="G67" s="24"/>
      <c r="H67" s="24"/>
      <c r="I67" s="25"/>
      <c r="J67" s="23"/>
      <c r="K67" s="24"/>
      <c r="L67" s="24"/>
      <c r="M67" s="24"/>
      <c r="N67" s="24"/>
      <c r="O67" s="24"/>
      <c r="P67" s="24"/>
      <c r="Q67" s="24"/>
      <c r="R67" s="24"/>
      <c r="S67" s="25"/>
      <c r="T67" s="23"/>
      <c r="U67" s="24"/>
      <c r="V67" s="24"/>
      <c r="W67" s="24"/>
      <c r="X67" s="25"/>
      <c r="Y67" s="25"/>
      <c r="Z67" s="25"/>
      <c r="AA67" s="25"/>
      <c r="AB67" s="25"/>
      <c r="AC67" s="25"/>
      <c r="AD67" s="24"/>
      <c r="AE67" s="26"/>
      <c r="AF67" s="25"/>
      <c r="AG67" s="25"/>
      <c r="AH67" s="25"/>
      <c r="AI67" s="26"/>
      <c r="AJ67" s="25"/>
      <c r="AK67" s="25"/>
      <c r="AL67" s="25"/>
      <c r="AM67" s="25"/>
      <c r="AN67" s="25"/>
    </row>
    <row r="68" spans="1:40" x14ac:dyDescent="0.25">
      <c r="A68" s="27" t="s">
        <v>113</v>
      </c>
      <c r="B68" s="27"/>
      <c r="C68" s="27"/>
      <c r="D68" s="46">
        <f>SUM(E68:AN68)</f>
        <v>62818.637355806539</v>
      </c>
      <c r="E68" s="23">
        <v>0</v>
      </c>
      <c r="F68" s="31">
        <v>0</v>
      </c>
      <c r="G68" s="31">
        <v>0</v>
      </c>
      <c r="H68" s="31">
        <v>0</v>
      </c>
      <c r="I68" s="32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2">
        <v>0</v>
      </c>
      <c r="T68" s="23">
        <v>0</v>
      </c>
      <c r="U68" s="31">
        <v>0</v>
      </c>
      <c r="V68" s="24">
        <v>0</v>
      </c>
      <c r="W68" s="31">
        <v>0</v>
      </c>
      <c r="X68" s="32">
        <v>0</v>
      </c>
      <c r="Y68" s="29">
        <f>GETPIVOTDATA("Complete Total PY8",'[1]PY8 Pivots'!$A$93,"Institution","MSU","L3","1.4.1")</f>
        <v>56851.137355806539</v>
      </c>
      <c r="Z68" s="29">
        <f>GETPIVOTDATA("Complete Total PY8",'[1]PY8 Pivots'!$A$93,"Institution","MSU","L3","1.4.2")</f>
        <v>0</v>
      </c>
      <c r="AA68" s="29">
        <v>0</v>
      </c>
      <c r="AB68" s="29">
        <f>GETPIVOTDATA("Complete Total PY8",'[1]PY8 Pivots'!$A$93,"Institution","MSU","L3","1.4.4")</f>
        <v>2790</v>
      </c>
      <c r="AC68" s="31">
        <v>0</v>
      </c>
      <c r="AD68" s="29">
        <f>GETPIVOTDATA("Complete Total PY8",'[1]PY8 Pivots'!$A$93,"Institution","MSU","L3","1.4.6")</f>
        <v>3177.5</v>
      </c>
      <c r="AE68" s="31">
        <v>0</v>
      </c>
      <c r="AF68" s="31">
        <v>0</v>
      </c>
      <c r="AG68" s="31">
        <v>0</v>
      </c>
      <c r="AH68" s="32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0</v>
      </c>
      <c r="AN68" s="32">
        <v>0</v>
      </c>
    </row>
    <row r="69" spans="1:40" x14ac:dyDescent="0.25">
      <c r="A69" s="27" t="s">
        <v>114</v>
      </c>
      <c r="B69" s="27"/>
      <c r="C69" s="27"/>
      <c r="D69" s="46">
        <f t="shared" ref="D69:D73" si="8">SUM(E69:AN69)</f>
        <v>18965.360623017354</v>
      </c>
      <c r="E69" s="23">
        <f>GETPIVOTDATA("Complete Total PY8",'[1]PY8 Pivots'!$A$93,"Institution","PSU","L3","1.1.1")</f>
        <v>11564.244282327654</v>
      </c>
      <c r="F69" s="31">
        <v>0</v>
      </c>
      <c r="G69" s="31">
        <v>0</v>
      </c>
      <c r="H69" s="31">
        <v>0</v>
      </c>
      <c r="I69" s="32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2">
        <v>0</v>
      </c>
      <c r="T69" s="31">
        <v>0</v>
      </c>
      <c r="U69" s="31">
        <v>0</v>
      </c>
      <c r="V69" s="31">
        <v>0</v>
      </c>
      <c r="W69" s="31">
        <v>0</v>
      </c>
      <c r="X69" s="32">
        <v>0</v>
      </c>
      <c r="Y69" s="29">
        <v>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0</v>
      </c>
      <c r="AH69" s="32">
        <v>0</v>
      </c>
      <c r="AI69" s="31">
        <v>0</v>
      </c>
      <c r="AJ69" s="31">
        <f>GETPIVOTDATA("Complete Total PY8",'[1]PY8 Pivots'!$A$93,"Institution","PSU","L3","1.6.1")</f>
        <v>7401.1163406896994</v>
      </c>
      <c r="AK69" s="31">
        <v>0</v>
      </c>
      <c r="AL69" s="31">
        <v>0</v>
      </c>
      <c r="AM69" s="31">
        <v>0</v>
      </c>
      <c r="AN69" s="32">
        <v>0</v>
      </c>
    </row>
    <row r="70" spans="1:40" x14ac:dyDescent="0.25">
      <c r="A70" s="27" t="s">
        <v>115</v>
      </c>
      <c r="B70" s="27"/>
      <c r="C70" s="27"/>
      <c r="D70" s="46">
        <f t="shared" si="8"/>
        <v>98658.386310542584</v>
      </c>
      <c r="E70" s="23">
        <v>0</v>
      </c>
      <c r="F70" s="31">
        <v>0</v>
      </c>
      <c r="G70" s="31">
        <v>0</v>
      </c>
      <c r="H70" s="31">
        <v>0</v>
      </c>
      <c r="I70" s="32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2">
        <v>0</v>
      </c>
      <c r="T70" s="31">
        <v>0</v>
      </c>
      <c r="U70" s="31">
        <v>0</v>
      </c>
      <c r="V70" s="31">
        <v>0</v>
      </c>
      <c r="W70" s="31">
        <v>0</v>
      </c>
      <c r="X70" s="32">
        <v>0</v>
      </c>
      <c r="Y70" s="29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2">
        <f>GETPIVOTDATA("Complete Total PY8",'[1]PY8 Pivots'!$A$93,"Institution","UA","L3","1.5.3")</f>
        <v>95976.386310542584</v>
      </c>
      <c r="AH70" s="32">
        <f>GETPIVOTDATA("Complete Total PY8",'[1]PY8 Pivots'!$A$93,"Institution","UA","L3","1.5.4")</f>
        <v>2682</v>
      </c>
      <c r="AI70" s="31">
        <v>0</v>
      </c>
      <c r="AJ70" s="31">
        <v>0</v>
      </c>
      <c r="AK70" s="31">
        <v>0</v>
      </c>
      <c r="AL70" s="31">
        <v>0</v>
      </c>
      <c r="AM70" s="31">
        <v>0</v>
      </c>
      <c r="AN70" s="32">
        <v>0</v>
      </c>
    </row>
    <row r="71" spans="1:40" x14ac:dyDescent="0.25">
      <c r="A71" s="27" t="s">
        <v>116</v>
      </c>
      <c r="B71" s="27"/>
      <c r="C71" s="27"/>
      <c r="D71" s="46">
        <f t="shared" si="8"/>
        <v>41847.430883645851</v>
      </c>
      <c r="E71" s="23">
        <f>GETPIVOTDATA("Complete Total PY8",'[1]PY8 Pivots'!$A$93,"Institution","UMD","L3","1.1.1")</f>
        <v>13801.579569590729</v>
      </c>
      <c r="F71" s="31">
        <v>0</v>
      </c>
      <c r="G71" s="31">
        <v>0</v>
      </c>
      <c r="H71" s="31">
        <v>0</v>
      </c>
      <c r="I71" s="32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2">
        <v>0</v>
      </c>
      <c r="T71" s="31">
        <v>0</v>
      </c>
      <c r="U71" s="31">
        <v>0</v>
      </c>
      <c r="V71" s="31">
        <v>0</v>
      </c>
      <c r="W71" s="31">
        <v>0</v>
      </c>
      <c r="X71" s="32">
        <v>0</v>
      </c>
      <c r="Y71" s="29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2">
        <v>0</v>
      </c>
      <c r="AI71" s="31">
        <f>GETPIVOTDATA("Complete Total PY8",'[1]PY8 Pivots'!$A$93,"Institution","UMD","L3","1.6.0")</f>
        <v>22629.382350894986</v>
      </c>
      <c r="AJ71" s="31">
        <v>0</v>
      </c>
      <c r="AK71" s="31">
        <v>0</v>
      </c>
      <c r="AL71" s="31">
        <v>0</v>
      </c>
      <c r="AM71" s="31">
        <v>0</v>
      </c>
      <c r="AN71" s="31">
        <f>GETPIVOTDATA("Complete Total PY8",'[1]PY8 Pivots'!$A$93,"Institution","UMD","L3","1.6.5")</f>
        <v>5416.4689631601341</v>
      </c>
    </row>
    <row r="72" spans="1:40" x14ac:dyDescent="0.25">
      <c r="A72" s="15" t="s">
        <v>117</v>
      </c>
      <c r="B72" s="37"/>
      <c r="C72" s="37"/>
      <c r="D72" s="38"/>
      <c r="E72" s="38"/>
      <c r="F72" s="62"/>
      <c r="G72" s="62"/>
      <c r="H72" s="62"/>
      <c r="I72" s="63"/>
      <c r="J72" s="38"/>
      <c r="K72" s="62"/>
      <c r="L72" s="62"/>
      <c r="M72" s="62"/>
      <c r="N72" s="62"/>
      <c r="O72" s="62"/>
      <c r="P72" s="62"/>
      <c r="Q72" s="62"/>
      <c r="R72" s="62"/>
      <c r="S72" s="63"/>
      <c r="T72" s="38"/>
      <c r="U72" s="62"/>
      <c r="V72" s="62"/>
      <c r="W72" s="62"/>
      <c r="X72" s="63"/>
      <c r="Y72" s="63"/>
      <c r="Z72" s="63"/>
      <c r="AA72" s="63"/>
      <c r="AB72" s="63"/>
      <c r="AC72" s="63"/>
      <c r="AD72" s="62"/>
      <c r="AE72" s="64"/>
      <c r="AF72" s="63"/>
      <c r="AG72" s="63"/>
      <c r="AH72" s="63"/>
      <c r="AI72" s="64"/>
      <c r="AJ72" s="63"/>
      <c r="AK72" s="63"/>
      <c r="AL72" s="63"/>
      <c r="AM72" s="63"/>
      <c r="AN72" s="63"/>
    </row>
    <row r="73" spans="1:40" x14ac:dyDescent="0.25">
      <c r="D73" s="46">
        <f t="shared" si="8"/>
        <v>222289.81517301232</v>
      </c>
      <c r="E73" s="59">
        <f>SUM(E68:E71)</f>
        <v>25365.823851918383</v>
      </c>
      <c r="F73" s="59">
        <f t="shared" ref="F73:AN73" si="9">SUM(F68:F71)</f>
        <v>0</v>
      </c>
      <c r="G73" s="59">
        <f t="shared" si="9"/>
        <v>0</v>
      </c>
      <c r="H73" s="59">
        <f t="shared" si="9"/>
        <v>0</v>
      </c>
      <c r="I73" s="74">
        <f t="shared" si="9"/>
        <v>0</v>
      </c>
      <c r="J73" s="59">
        <f t="shared" si="9"/>
        <v>0</v>
      </c>
      <c r="K73" s="59">
        <f t="shared" si="9"/>
        <v>0</v>
      </c>
      <c r="L73" s="59">
        <f t="shared" si="9"/>
        <v>0</v>
      </c>
      <c r="M73" s="59">
        <f t="shared" si="9"/>
        <v>0</v>
      </c>
      <c r="N73" s="59">
        <f t="shared" si="9"/>
        <v>0</v>
      </c>
      <c r="O73" s="59">
        <f t="shared" si="9"/>
        <v>0</v>
      </c>
      <c r="P73" s="59">
        <f t="shared" si="9"/>
        <v>0</v>
      </c>
      <c r="Q73" s="59">
        <f t="shared" si="9"/>
        <v>0</v>
      </c>
      <c r="R73" s="59">
        <f t="shared" si="9"/>
        <v>0</v>
      </c>
      <c r="S73" s="59">
        <f t="shared" si="9"/>
        <v>0</v>
      </c>
      <c r="T73" s="59">
        <f t="shared" si="9"/>
        <v>0</v>
      </c>
      <c r="U73" s="59">
        <f t="shared" si="9"/>
        <v>0</v>
      </c>
      <c r="V73" s="59">
        <f t="shared" si="9"/>
        <v>0</v>
      </c>
      <c r="W73" s="59">
        <f t="shared" si="9"/>
        <v>0</v>
      </c>
      <c r="X73" s="59">
        <f t="shared" si="9"/>
        <v>0</v>
      </c>
      <c r="Y73" s="59">
        <f t="shared" si="9"/>
        <v>56851.137355806539</v>
      </c>
      <c r="Z73" s="59">
        <f t="shared" si="9"/>
        <v>0</v>
      </c>
      <c r="AA73" s="59">
        <f t="shared" si="9"/>
        <v>0</v>
      </c>
      <c r="AB73" s="59">
        <f t="shared" si="9"/>
        <v>2790</v>
      </c>
      <c r="AC73" s="59">
        <f t="shared" si="9"/>
        <v>0</v>
      </c>
      <c r="AD73" s="59">
        <f t="shared" si="9"/>
        <v>3177.5</v>
      </c>
      <c r="AE73" s="59">
        <f t="shared" si="9"/>
        <v>0</v>
      </c>
      <c r="AF73" s="59">
        <f t="shared" si="9"/>
        <v>0</v>
      </c>
      <c r="AG73" s="59">
        <f t="shared" si="9"/>
        <v>95976.386310542584</v>
      </c>
      <c r="AH73" s="59">
        <f t="shared" si="9"/>
        <v>2682</v>
      </c>
      <c r="AI73" s="59">
        <f t="shared" si="9"/>
        <v>22629.382350894986</v>
      </c>
      <c r="AJ73" s="59">
        <f t="shared" si="9"/>
        <v>7401.1163406896994</v>
      </c>
      <c r="AK73" s="59">
        <f t="shared" si="9"/>
        <v>0</v>
      </c>
      <c r="AL73" s="59">
        <f t="shared" si="9"/>
        <v>0</v>
      </c>
      <c r="AM73" s="59">
        <f t="shared" si="9"/>
        <v>0</v>
      </c>
      <c r="AN73" s="59">
        <f t="shared" si="9"/>
        <v>5416.4689631601341</v>
      </c>
    </row>
    <row r="74" spans="1:40" x14ac:dyDescent="0.25">
      <c r="A74" t="s">
        <v>118</v>
      </c>
      <c r="D74" s="22">
        <f>'[1]PY8 Pivots'!G161</f>
        <v>225059.51032200109</v>
      </c>
      <c r="E74" s="58">
        <v>0</v>
      </c>
      <c r="F74" s="58">
        <v>0</v>
      </c>
      <c r="G74" s="58">
        <v>0</v>
      </c>
      <c r="H74" s="58">
        <v>0</v>
      </c>
      <c r="I74" s="60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/>
      <c r="R74" s="58">
        <v>0</v>
      </c>
      <c r="S74" s="60">
        <v>0</v>
      </c>
      <c r="T74" s="58">
        <v>0</v>
      </c>
      <c r="U74" s="58">
        <v>0</v>
      </c>
      <c r="V74" s="58">
        <v>0</v>
      </c>
      <c r="W74" s="58">
        <v>0</v>
      </c>
      <c r="X74" s="60">
        <v>0</v>
      </c>
      <c r="Y74" s="61">
        <v>0</v>
      </c>
      <c r="Z74" s="58">
        <v>0</v>
      </c>
      <c r="AA74" s="58">
        <v>0</v>
      </c>
      <c r="AB74" s="58">
        <v>0</v>
      </c>
      <c r="AC74" s="58">
        <v>0</v>
      </c>
      <c r="AD74" s="58">
        <v>0</v>
      </c>
      <c r="AE74" s="58">
        <v>0</v>
      </c>
      <c r="AF74" s="58">
        <v>0</v>
      </c>
      <c r="AG74" s="58">
        <v>0</v>
      </c>
      <c r="AH74" s="60">
        <v>0</v>
      </c>
      <c r="AI74" s="58">
        <v>0</v>
      </c>
      <c r="AJ74" s="58">
        <v>0</v>
      </c>
      <c r="AK74" s="58">
        <v>0</v>
      </c>
      <c r="AL74" s="58">
        <v>0</v>
      </c>
      <c r="AM74" s="58">
        <v>0</v>
      </c>
      <c r="AN74" s="60">
        <v>0</v>
      </c>
    </row>
    <row r="75" spans="1:40" x14ac:dyDescent="0.25">
      <c r="A75" t="s">
        <v>119</v>
      </c>
      <c r="D75" s="22">
        <f>SUM(E75:AN75)</f>
        <v>0</v>
      </c>
      <c r="E75" s="58">
        <v>0</v>
      </c>
      <c r="F75" s="58">
        <v>0</v>
      </c>
      <c r="G75" s="58">
        <v>0</v>
      </c>
      <c r="H75" s="58">
        <v>0</v>
      </c>
      <c r="I75" s="60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/>
      <c r="R75" s="58">
        <v>0</v>
      </c>
      <c r="S75" s="60">
        <v>0</v>
      </c>
      <c r="T75" s="58">
        <v>0</v>
      </c>
      <c r="U75" s="58">
        <v>0</v>
      </c>
      <c r="V75" s="58">
        <v>0</v>
      </c>
      <c r="W75" s="58">
        <v>0</v>
      </c>
      <c r="X75" s="60">
        <v>0</v>
      </c>
      <c r="Y75" s="61">
        <v>0</v>
      </c>
      <c r="Z75" s="58">
        <v>0</v>
      </c>
      <c r="AA75" s="58">
        <v>0</v>
      </c>
      <c r="AB75" s="58">
        <v>0</v>
      </c>
      <c r="AC75" s="58">
        <v>0</v>
      </c>
      <c r="AD75" s="58">
        <v>0</v>
      </c>
      <c r="AE75" s="58">
        <v>0</v>
      </c>
      <c r="AF75" s="58">
        <v>0</v>
      </c>
      <c r="AG75" s="58">
        <v>0</v>
      </c>
      <c r="AH75" s="60">
        <v>0</v>
      </c>
      <c r="AI75" s="58">
        <v>0</v>
      </c>
      <c r="AJ75" s="58">
        <v>0</v>
      </c>
      <c r="AK75" s="58">
        <v>0</v>
      </c>
      <c r="AL75" s="58">
        <v>0</v>
      </c>
      <c r="AM75" s="58">
        <v>0</v>
      </c>
      <c r="AN75" s="60">
        <v>0</v>
      </c>
    </row>
    <row r="76" spans="1:40" x14ac:dyDescent="0.25">
      <c r="A76" t="s">
        <v>120</v>
      </c>
      <c r="D76" s="22">
        <f>SUM(E76:AN76)</f>
        <v>0</v>
      </c>
      <c r="E76" s="58">
        <v>0</v>
      </c>
      <c r="F76" s="58">
        <v>0</v>
      </c>
      <c r="G76" s="58">
        <v>0</v>
      </c>
      <c r="H76" s="58">
        <v>0</v>
      </c>
      <c r="I76" s="60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/>
      <c r="R76" s="58">
        <v>0</v>
      </c>
      <c r="S76" s="60">
        <v>0</v>
      </c>
      <c r="T76" s="58">
        <v>0</v>
      </c>
      <c r="U76" s="58">
        <v>0</v>
      </c>
      <c r="V76" s="58">
        <v>0</v>
      </c>
      <c r="W76" s="58">
        <v>0</v>
      </c>
      <c r="X76" s="60">
        <v>0</v>
      </c>
      <c r="Y76" s="61">
        <v>0</v>
      </c>
      <c r="Z76" s="58">
        <v>0</v>
      </c>
      <c r="AA76" s="58">
        <v>0</v>
      </c>
      <c r="AB76" s="58">
        <v>0</v>
      </c>
      <c r="AC76" s="58">
        <v>0</v>
      </c>
      <c r="AD76" s="58">
        <v>0</v>
      </c>
      <c r="AE76" s="58">
        <v>0</v>
      </c>
      <c r="AF76" s="58">
        <v>0</v>
      </c>
      <c r="AG76" s="58">
        <v>0</v>
      </c>
      <c r="AH76" s="60">
        <v>0</v>
      </c>
      <c r="AI76" s="58">
        <v>0</v>
      </c>
      <c r="AJ76" s="58">
        <v>0</v>
      </c>
      <c r="AK76" s="58">
        <v>0</v>
      </c>
      <c r="AL76" s="58">
        <v>0</v>
      </c>
      <c r="AM76" s="58">
        <v>0</v>
      </c>
      <c r="AN76" s="60">
        <v>0</v>
      </c>
    </row>
    <row r="77" spans="1:40" x14ac:dyDescent="0.25">
      <c r="A77" t="s">
        <v>121</v>
      </c>
      <c r="D77" s="22">
        <f>SUM(E77:AN77)</f>
        <v>0</v>
      </c>
      <c r="E77" s="58">
        <v>0</v>
      </c>
      <c r="F77" s="58">
        <v>0</v>
      </c>
      <c r="G77" s="58">
        <v>0</v>
      </c>
      <c r="H77" s="58">
        <v>0</v>
      </c>
      <c r="I77" s="60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/>
      <c r="R77" s="58">
        <v>0</v>
      </c>
      <c r="S77" s="60">
        <v>0</v>
      </c>
      <c r="T77" s="58">
        <v>0</v>
      </c>
      <c r="U77" s="58">
        <v>0</v>
      </c>
      <c r="V77" s="58">
        <v>0</v>
      </c>
      <c r="W77" s="58">
        <v>0</v>
      </c>
      <c r="X77" s="60">
        <v>0</v>
      </c>
      <c r="Y77" s="61">
        <v>0</v>
      </c>
      <c r="Z77" s="58">
        <v>0</v>
      </c>
      <c r="AA77" s="58">
        <v>0</v>
      </c>
      <c r="AB77" s="58">
        <v>0</v>
      </c>
      <c r="AC77" s="58">
        <v>0</v>
      </c>
      <c r="AD77" s="58">
        <v>0</v>
      </c>
      <c r="AE77" s="58">
        <v>0</v>
      </c>
      <c r="AF77" s="58">
        <v>0</v>
      </c>
      <c r="AG77" s="58">
        <v>0</v>
      </c>
      <c r="AH77" s="60">
        <v>0</v>
      </c>
      <c r="AI77" s="58">
        <v>0</v>
      </c>
      <c r="AJ77" s="58">
        <v>0</v>
      </c>
      <c r="AK77" s="58">
        <v>0</v>
      </c>
      <c r="AL77" s="58">
        <v>0</v>
      </c>
      <c r="AM77" s="58">
        <v>0</v>
      </c>
      <c r="AN77" s="60">
        <v>0</v>
      </c>
    </row>
    <row r="78" spans="1:40" x14ac:dyDescent="0.25">
      <c r="A78" s="15" t="s">
        <v>122</v>
      </c>
      <c r="B78" s="15"/>
      <c r="C78" s="15"/>
      <c r="D78" s="18"/>
      <c r="E78" s="18"/>
      <c r="F78" s="19"/>
      <c r="G78" s="19"/>
      <c r="H78" s="19"/>
      <c r="I78" s="20"/>
      <c r="J78" s="18"/>
      <c r="K78" s="19"/>
      <c r="L78" s="19"/>
      <c r="M78" s="19"/>
      <c r="N78" s="19"/>
      <c r="O78" s="19"/>
      <c r="P78" s="19"/>
      <c r="Q78" s="19"/>
      <c r="R78" s="19"/>
      <c r="S78" s="20"/>
      <c r="T78" s="18"/>
      <c r="U78" s="19"/>
      <c r="V78" s="19"/>
      <c r="W78" s="19"/>
      <c r="X78" s="20"/>
      <c r="Y78" s="20"/>
      <c r="Z78" s="20"/>
      <c r="AA78" s="20"/>
      <c r="AB78" s="20"/>
      <c r="AC78" s="20"/>
      <c r="AD78" s="19"/>
      <c r="AE78" s="43"/>
      <c r="AF78" s="20"/>
      <c r="AG78" s="20"/>
      <c r="AH78" s="20"/>
      <c r="AI78" s="43"/>
      <c r="AJ78" s="20"/>
      <c r="AK78" s="20"/>
      <c r="AL78" s="20"/>
      <c r="AM78" s="20"/>
      <c r="AN78" s="20"/>
    </row>
    <row r="79" spans="1:40" x14ac:dyDescent="0.25">
      <c r="D79" s="22">
        <f>SUM(E79:AN79)</f>
        <v>0</v>
      </c>
      <c r="E79" s="58">
        <v>0</v>
      </c>
      <c r="F79" s="58">
        <v>0</v>
      </c>
      <c r="G79" s="58">
        <v>0</v>
      </c>
      <c r="H79" s="58">
        <v>0</v>
      </c>
      <c r="I79" s="60">
        <v>0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58"/>
      <c r="R79" s="58">
        <v>0</v>
      </c>
      <c r="S79" s="60">
        <v>0</v>
      </c>
      <c r="T79" s="58">
        <v>0</v>
      </c>
      <c r="U79" s="58">
        <v>0</v>
      </c>
      <c r="V79" s="58">
        <v>0</v>
      </c>
      <c r="W79" s="58">
        <v>0</v>
      </c>
      <c r="X79" s="60">
        <v>0</v>
      </c>
      <c r="Y79" s="61">
        <v>0</v>
      </c>
      <c r="Z79" s="58">
        <v>0</v>
      </c>
      <c r="AA79" s="58">
        <v>0</v>
      </c>
      <c r="AB79" s="58">
        <v>0</v>
      </c>
      <c r="AC79" s="58">
        <v>0</v>
      </c>
      <c r="AD79" s="58">
        <v>0</v>
      </c>
      <c r="AE79" s="58">
        <v>0</v>
      </c>
      <c r="AF79" s="58">
        <v>0</v>
      </c>
      <c r="AG79" s="58">
        <v>0</v>
      </c>
      <c r="AH79" s="60">
        <v>0</v>
      </c>
      <c r="AI79" s="58">
        <v>0</v>
      </c>
      <c r="AJ79" s="58">
        <v>0</v>
      </c>
      <c r="AK79" s="58">
        <v>0</v>
      </c>
      <c r="AL79" s="58">
        <v>0</v>
      </c>
      <c r="AM79" s="58">
        <v>0</v>
      </c>
      <c r="AN79" s="60">
        <v>0</v>
      </c>
    </row>
    <row r="80" spans="1:40" x14ac:dyDescent="0.25">
      <c r="A80" s="15" t="s">
        <v>123</v>
      </c>
      <c r="B80" s="15"/>
      <c r="C80" s="15"/>
      <c r="D80" s="18"/>
      <c r="E80" s="18"/>
      <c r="F80" s="19"/>
      <c r="G80" s="19"/>
      <c r="H80" s="19"/>
      <c r="I80" s="20"/>
      <c r="J80" s="18"/>
      <c r="K80" s="19"/>
      <c r="L80" s="19"/>
      <c r="M80" s="19"/>
      <c r="N80" s="19"/>
      <c r="O80" s="19"/>
      <c r="P80" s="19"/>
      <c r="Q80" s="19"/>
      <c r="R80" s="19"/>
      <c r="S80" s="20"/>
      <c r="T80" s="18"/>
      <c r="U80" s="19"/>
      <c r="V80" s="19"/>
      <c r="W80" s="19"/>
      <c r="X80" s="20"/>
      <c r="Y80" s="20"/>
      <c r="Z80" s="20"/>
      <c r="AA80" s="20"/>
      <c r="AB80" s="20"/>
      <c r="AC80" s="20"/>
      <c r="AD80" s="19"/>
      <c r="AE80" s="43"/>
      <c r="AF80" s="20"/>
      <c r="AG80" s="20"/>
      <c r="AH80" s="20"/>
      <c r="AI80" s="43"/>
      <c r="AJ80" s="20"/>
      <c r="AK80" s="20"/>
      <c r="AL80" s="20"/>
      <c r="AM80" s="20"/>
      <c r="AN80" s="20"/>
    </row>
    <row r="81" spans="1:40" x14ac:dyDescent="0.25">
      <c r="D81" s="46">
        <f>SUM(E81:AN81)+D74</f>
        <v>2324605.1948634461</v>
      </c>
      <c r="E81" s="13">
        <f>SUM(E79,E73,E66,E54,E46,E42,E37,E30,E28)</f>
        <v>153548.38968060777</v>
      </c>
      <c r="F81" s="13">
        <f t="shared" ref="F81:AN81" si="10">SUM(F79,F73,F66,F54,F46,F42,F37,F30,F28)</f>
        <v>72318.990489767675</v>
      </c>
      <c r="G81" s="13">
        <f t="shared" si="10"/>
        <v>20264.016318941813</v>
      </c>
      <c r="H81" s="13">
        <f t="shared" si="10"/>
        <v>1865.3007912909588</v>
      </c>
      <c r="I81" s="13">
        <f t="shared" si="10"/>
        <v>16315.869805618317</v>
      </c>
      <c r="J81" s="13">
        <f t="shared" si="10"/>
        <v>228374.8138928343</v>
      </c>
      <c r="K81" s="13">
        <f t="shared" si="10"/>
        <v>0</v>
      </c>
      <c r="L81" s="13">
        <f t="shared" si="10"/>
        <v>0</v>
      </c>
      <c r="M81" s="13">
        <f t="shared" si="10"/>
        <v>4006.8335592042313</v>
      </c>
      <c r="N81" s="13">
        <f t="shared" si="10"/>
        <v>0</v>
      </c>
      <c r="O81" s="13">
        <f t="shared" si="10"/>
        <v>0</v>
      </c>
      <c r="P81" s="13">
        <f t="shared" si="10"/>
        <v>8362.0874279044838</v>
      </c>
      <c r="Q81" s="13">
        <f t="shared" si="10"/>
        <v>1290397.9116626361</v>
      </c>
      <c r="R81" s="13">
        <f t="shared" si="10"/>
        <v>0</v>
      </c>
      <c r="S81" s="13">
        <f t="shared" si="10"/>
        <v>26511.249799153706</v>
      </c>
      <c r="T81" s="13">
        <f t="shared" si="10"/>
        <v>0</v>
      </c>
      <c r="U81" s="13">
        <f t="shared" si="10"/>
        <v>0</v>
      </c>
      <c r="V81" s="13">
        <f t="shared" si="10"/>
        <v>0</v>
      </c>
      <c r="W81" s="13">
        <f t="shared" si="10"/>
        <v>3385.1755101206295</v>
      </c>
      <c r="X81" s="13">
        <f t="shared" si="10"/>
        <v>0</v>
      </c>
      <c r="Y81" s="13">
        <f t="shared" si="10"/>
        <v>56851.137355806539</v>
      </c>
      <c r="Z81" s="13">
        <f t="shared" si="10"/>
        <v>250</v>
      </c>
      <c r="AA81" s="13">
        <f t="shared" si="10"/>
        <v>0</v>
      </c>
      <c r="AB81" s="13">
        <f t="shared" si="10"/>
        <v>17041.624797877266</v>
      </c>
      <c r="AC81" s="13">
        <f t="shared" si="10"/>
        <v>0</v>
      </c>
      <c r="AD81" s="13">
        <f t="shared" si="10"/>
        <v>3177.5</v>
      </c>
      <c r="AE81" s="13">
        <f t="shared" si="10"/>
        <v>0</v>
      </c>
      <c r="AF81" s="13">
        <f t="shared" si="10"/>
        <v>0</v>
      </c>
      <c r="AG81" s="13">
        <f t="shared" si="10"/>
        <v>95976.386310542584</v>
      </c>
      <c r="AH81" s="13">
        <f t="shared" si="10"/>
        <v>2682</v>
      </c>
      <c r="AI81" s="13">
        <f t="shared" si="10"/>
        <v>22629.382350894986</v>
      </c>
      <c r="AJ81" s="13">
        <f t="shared" si="10"/>
        <v>65937.23906470678</v>
      </c>
      <c r="AK81" s="13">
        <f t="shared" si="10"/>
        <v>0</v>
      </c>
      <c r="AL81" s="13">
        <f t="shared" si="10"/>
        <v>0</v>
      </c>
      <c r="AM81" s="13">
        <f t="shared" si="10"/>
        <v>4233.306760376644</v>
      </c>
      <c r="AN81" s="13">
        <f t="shared" si="10"/>
        <v>5416.4689631601341</v>
      </c>
    </row>
    <row r="82" spans="1:40" x14ac:dyDescent="0.25">
      <c r="A82" s="15" t="s">
        <v>124</v>
      </c>
      <c r="B82" s="15"/>
      <c r="C82" s="15"/>
      <c r="D82" s="18"/>
      <c r="E82" s="18"/>
      <c r="F82" s="19"/>
      <c r="G82" s="19"/>
      <c r="H82" s="19"/>
      <c r="I82" s="20"/>
      <c r="J82" s="18"/>
      <c r="K82" s="19"/>
      <c r="L82" s="19"/>
      <c r="M82" s="19"/>
      <c r="N82" s="19"/>
      <c r="O82" s="19"/>
      <c r="P82" s="19"/>
      <c r="Q82" s="19"/>
      <c r="R82" s="19"/>
      <c r="S82" s="20"/>
      <c r="T82" s="18"/>
      <c r="U82" s="19"/>
      <c r="V82" s="19"/>
      <c r="W82" s="19"/>
      <c r="X82" s="20"/>
      <c r="Y82" s="20"/>
      <c r="Z82" s="20"/>
      <c r="AA82" s="20"/>
      <c r="AB82" s="20"/>
      <c r="AC82" s="20"/>
      <c r="AD82" s="19"/>
      <c r="AE82" s="43"/>
      <c r="AF82" s="20"/>
      <c r="AG82" s="20"/>
      <c r="AH82" s="20"/>
      <c r="AI82" s="43"/>
      <c r="AJ82" s="20"/>
      <c r="AK82" s="20"/>
      <c r="AL82" s="20"/>
      <c r="AM82" s="20"/>
      <c r="AN82" s="20"/>
    </row>
    <row r="83" spans="1:40" x14ac:dyDescent="0.25">
      <c r="A83" s="27" t="s">
        <v>125</v>
      </c>
      <c r="B83" s="27"/>
      <c r="C83" s="27"/>
      <c r="D83" s="46">
        <f>SUM(E83:AN83)</f>
        <v>256075.15492414823</v>
      </c>
      <c r="E83" s="23">
        <f>GETPIVOTDATA("Indirect Subtotal PY8",'[1]PY8 Pivots'!$A$105,"L3","1.1.1")</f>
        <v>67936.759889205379</v>
      </c>
      <c r="F83" s="23">
        <f>GETPIVOTDATA("Indirect Subtotal PY8",'[1]PY8 Pivots'!$A$105,"L3","1.1.2")</f>
        <v>38329.064959576877</v>
      </c>
      <c r="G83" s="23">
        <f>GETPIVOTDATA("Indirect Subtotal PY8",'[1]PY8 Pivots'!$A$105,"L3","1.1.3")</f>
        <v>10739.928649039162</v>
      </c>
      <c r="H83" s="23">
        <f>GETPIVOTDATA("Indirect Subtotal PY8",'[1]PY8 Pivots'!$A$105,"L3","1.1.4")</f>
        <v>988.60941938420831</v>
      </c>
      <c r="I83" s="23">
        <f>GETPIVOTDATA("Indirect Subtotal PY8",'[1]PY8 Pivots'!$A$105,"L3","1.1.5")</f>
        <v>8647.410996977711</v>
      </c>
      <c r="J83" s="23">
        <f>GETPIVOTDATA("Indirect Subtotal PY8",'[1]PY8 Pivots'!$A$105,"L3","1.2.1")</f>
        <v>53746.386007341629</v>
      </c>
      <c r="K83" s="23">
        <v>0</v>
      </c>
      <c r="L83" s="23">
        <f>GETPIVOTDATA("Indirect Subtotal PY7",'[1]PY7 Pivots'!$A$105,"L3","1.2.3")</f>
        <v>0</v>
      </c>
      <c r="M83" s="23">
        <v>0</v>
      </c>
      <c r="N83" s="23">
        <v>0</v>
      </c>
      <c r="O83" s="23">
        <v>0</v>
      </c>
      <c r="P83" s="23">
        <f>GETPIVOTDATA("Indirect Subtotal PY8",'[1]PY8 Pivots'!$A$105,"L3","1.2.7")</f>
        <v>0</v>
      </c>
      <c r="Q83" s="23">
        <f>GETPIVOTDATA("Indirect Subtotal PY8",'[1]PY8 Pivots'!$A$105,"L3","1.2.8")</f>
        <v>18888.230819104236</v>
      </c>
      <c r="R83" s="23">
        <f>GETPIVOTDATA("Indirect Subtotal PY8",'[1]PY8 Pivots'!$A$105,"L3","1.2.9")</f>
        <v>0</v>
      </c>
      <c r="S83" s="23">
        <f>GETPIVOTDATA("Indirect Subtotal PY8",'[1]PY8 Pivots'!$A$105,"L3","1.2.10")</f>
        <v>14050.962393551466</v>
      </c>
      <c r="T83" s="23">
        <v>0</v>
      </c>
      <c r="U83" s="23">
        <v>0</v>
      </c>
      <c r="V83" s="23">
        <f>GETPIVOTDATA("Indirect Subtotal PY8",'[1]PY8 Pivots'!$A$105,"L3","1.3.3")</f>
        <v>0</v>
      </c>
      <c r="W83" s="23">
        <f>GETPIVOTDATA("Indirect Subtotal PY8",'[1]PY8 Pivots'!$A$105,"L3","1.3.4")</f>
        <v>1794.1430203639338</v>
      </c>
      <c r="X83" s="23">
        <v>0</v>
      </c>
      <c r="Y83" s="23">
        <v>0</v>
      </c>
      <c r="Z83" s="23">
        <f>GETPIVOTDATA("Indirect Subtotal PY8",'[1]PY8 Pivots'!$A$105,"L3","1.4.2")</f>
        <v>132.5</v>
      </c>
      <c r="AA83" s="23">
        <v>0</v>
      </c>
      <c r="AB83" s="23">
        <f>GETPIVOTDATA("Indirect Subtotal PY8",'[1]PY8 Pivots'!$A$105,"L3","1.4.4")</f>
        <v>7553.3611428749518</v>
      </c>
      <c r="AC83" s="23">
        <v>0</v>
      </c>
      <c r="AD83" s="23">
        <v>0</v>
      </c>
      <c r="AE83" s="23">
        <v>0</v>
      </c>
      <c r="AF83" s="23">
        <f>GETPIVOTDATA("Indirect Subtotal PY8",'[1]PY8 Pivots'!$A$105,"L3","1.5.2")</f>
        <v>0</v>
      </c>
      <c r="AG83" s="23">
        <f>GETPIVOTDATA("Indirect Subtotal PY8",'[1]PY8 Pivots'!$A$105,"L3","1.5.3")</f>
        <v>0</v>
      </c>
      <c r="AH83" s="23">
        <v>0</v>
      </c>
      <c r="AI83" s="23">
        <f>GETPIVOTDATA("Indirect Subtotal PY8",'[1]PY8 Pivots'!$A$105,"L3","1.6.0")</f>
        <v>0</v>
      </c>
      <c r="AJ83" s="23">
        <f>GETPIVOTDATA("Indirect Subtotal PY8",'[1]PY8 Pivots'!$A$105,"L3","1.6.1")</f>
        <v>31024.145043729059</v>
      </c>
      <c r="AK83" s="23">
        <v>0</v>
      </c>
      <c r="AL83" s="23">
        <v>0</v>
      </c>
      <c r="AM83" s="23">
        <f>GETPIVOTDATA("Indirect Subtotal PY8",'[1]PY8 Pivots'!$A$105,"L3","1.6.4")</f>
        <v>2243.6525829996212</v>
      </c>
      <c r="AN83" s="23">
        <f t="shared" ref="AN83" si="11">(AN81-AN73-AN37)*0.53</f>
        <v>0</v>
      </c>
    </row>
    <row r="84" spans="1:40" x14ac:dyDescent="0.25">
      <c r="A84" t="s">
        <v>126</v>
      </c>
      <c r="D84" s="22">
        <f>'[1]PY8 Pivots'!H161</f>
        <v>31811.192092574605</v>
      </c>
      <c r="E84" s="66">
        <v>0</v>
      </c>
      <c r="F84" s="75"/>
      <c r="G84" s="75"/>
      <c r="H84" s="75"/>
      <c r="I84" s="76"/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/>
      <c r="R84" s="77">
        <v>0</v>
      </c>
      <c r="S84" s="78">
        <v>0</v>
      </c>
      <c r="T84" s="79">
        <v>0</v>
      </c>
      <c r="U84" s="79">
        <v>0</v>
      </c>
      <c r="V84" s="79">
        <v>0</v>
      </c>
      <c r="W84" s="79">
        <v>0</v>
      </c>
      <c r="X84" s="80">
        <v>0</v>
      </c>
      <c r="Y84" s="81">
        <v>0</v>
      </c>
      <c r="Z84" s="77">
        <v>0</v>
      </c>
      <c r="AA84" s="77">
        <v>0</v>
      </c>
      <c r="AB84" s="77">
        <v>0</v>
      </c>
      <c r="AC84" s="77">
        <v>0</v>
      </c>
      <c r="AD84" s="77">
        <v>0</v>
      </c>
      <c r="AE84" s="79">
        <v>0</v>
      </c>
      <c r="AF84" s="79">
        <v>0</v>
      </c>
      <c r="AG84" s="79">
        <v>0</v>
      </c>
      <c r="AH84" s="80">
        <v>0</v>
      </c>
      <c r="AI84" s="77">
        <v>0</v>
      </c>
      <c r="AJ84" s="77">
        <v>0</v>
      </c>
      <c r="AK84" s="77">
        <v>0</v>
      </c>
      <c r="AL84" s="77">
        <v>0</v>
      </c>
      <c r="AM84" s="77">
        <v>0</v>
      </c>
      <c r="AN84" s="78">
        <v>0</v>
      </c>
    </row>
    <row r="85" spans="1:40" x14ac:dyDescent="0.25">
      <c r="A85" t="s">
        <v>127</v>
      </c>
      <c r="D85" s="22">
        <f>D83+D84</f>
        <v>287886.34701672284</v>
      </c>
      <c r="E85" s="13">
        <f>SUM(E83:E84)</f>
        <v>67936.759889205379</v>
      </c>
      <c r="F85" s="1">
        <f t="shared" ref="F85:AN85" si="12">SUM(F83:F84)</f>
        <v>38329.064959576877</v>
      </c>
      <c r="G85" s="1">
        <f t="shared" si="12"/>
        <v>10739.928649039162</v>
      </c>
      <c r="H85" s="1">
        <f t="shared" si="12"/>
        <v>988.60941938420831</v>
      </c>
      <c r="I85" s="14">
        <f t="shared" si="12"/>
        <v>8647.410996977711</v>
      </c>
      <c r="J85" s="82">
        <f t="shared" si="12"/>
        <v>53746.386007341629</v>
      </c>
      <c r="K85" s="82">
        <f t="shared" si="12"/>
        <v>0</v>
      </c>
      <c r="L85" s="82">
        <f t="shared" si="12"/>
        <v>0</v>
      </c>
      <c r="M85" s="82">
        <f t="shared" si="12"/>
        <v>0</v>
      </c>
      <c r="N85" s="82">
        <f t="shared" si="12"/>
        <v>0</v>
      </c>
      <c r="O85" s="82">
        <f t="shared" si="12"/>
        <v>0</v>
      </c>
      <c r="P85" s="82">
        <f t="shared" si="12"/>
        <v>0</v>
      </c>
      <c r="Q85" s="82">
        <f t="shared" si="12"/>
        <v>18888.230819104236</v>
      </c>
      <c r="R85" s="82">
        <f t="shared" si="12"/>
        <v>0</v>
      </c>
      <c r="S85" s="83">
        <f t="shared" si="12"/>
        <v>14050.962393551466</v>
      </c>
      <c r="T85" s="84">
        <f t="shared" si="12"/>
        <v>0</v>
      </c>
      <c r="U85" s="84">
        <f t="shared" si="12"/>
        <v>0</v>
      </c>
      <c r="V85" s="84">
        <f t="shared" si="12"/>
        <v>0</v>
      </c>
      <c r="W85" s="84">
        <f t="shared" si="12"/>
        <v>1794.1430203639338</v>
      </c>
      <c r="X85" s="85">
        <f t="shared" si="12"/>
        <v>0</v>
      </c>
      <c r="Y85" s="86">
        <f t="shared" si="12"/>
        <v>0</v>
      </c>
      <c r="Z85" s="82">
        <f t="shared" si="12"/>
        <v>132.5</v>
      </c>
      <c r="AA85" s="82">
        <f t="shared" si="12"/>
        <v>0</v>
      </c>
      <c r="AB85" s="82">
        <f t="shared" si="12"/>
        <v>7553.3611428749518</v>
      </c>
      <c r="AC85" s="82">
        <f t="shared" si="12"/>
        <v>0</v>
      </c>
      <c r="AD85" s="82">
        <f t="shared" si="12"/>
        <v>0</v>
      </c>
      <c r="AE85" s="84">
        <f t="shared" si="12"/>
        <v>0</v>
      </c>
      <c r="AF85" s="84">
        <f t="shared" si="12"/>
        <v>0</v>
      </c>
      <c r="AG85" s="84">
        <f t="shared" si="12"/>
        <v>0</v>
      </c>
      <c r="AH85" s="85">
        <f t="shared" si="12"/>
        <v>0</v>
      </c>
      <c r="AI85" s="82">
        <f t="shared" si="12"/>
        <v>0</v>
      </c>
      <c r="AJ85" s="82">
        <f t="shared" si="12"/>
        <v>31024.145043729059</v>
      </c>
      <c r="AK85" s="82">
        <f t="shared" si="12"/>
        <v>0</v>
      </c>
      <c r="AL85" s="82">
        <f t="shared" si="12"/>
        <v>0</v>
      </c>
      <c r="AM85" s="82">
        <f t="shared" si="12"/>
        <v>2243.6525829996212</v>
      </c>
      <c r="AN85" s="83">
        <f t="shared" si="12"/>
        <v>0</v>
      </c>
    </row>
    <row r="86" spans="1:40" x14ac:dyDescent="0.25">
      <c r="D86" s="22">
        <f>SUM(E86:AN86)</f>
        <v>0</v>
      </c>
      <c r="E86" s="13"/>
      <c r="F86" s="1"/>
      <c r="G86" s="1"/>
      <c r="H86" s="1"/>
      <c r="I86" s="14"/>
      <c r="J86" s="82"/>
      <c r="K86" s="86"/>
      <c r="L86" s="86"/>
      <c r="M86" s="86"/>
      <c r="N86" s="86"/>
      <c r="O86" s="86"/>
      <c r="P86" s="86"/>
      <c r="Q86" s="86"/>
      <c r="R86" s="86"/>
      <c r="S86" s="87"/>
      <c r="T86" s="84"/>
      <c r="U86" s="88"/>
      <c r="V86" s="88"/>
      <c r="W86" s="88"/>
      <c r="X86" s="89"/>
      <c r="Y86" s="87"/>
      <c r="Z86" s="87"/>
      <c r="AA86" s="87"/>
      <c r="AB86" s="87"/>
      <c r="AC86" s="87"/>
      <c r="AD86" s="86"/>
      <c r="AE86" s="85"/>
      <c r="AF86" s="89"/>
      <c r="AG86" s="89"/>
      <c r="AH86" s="89"/>
      <c r="AI86" s="83"/>
      <c r="AJ86" s="87"/>
      <c r="AK86" s="87"/>
      <c r="AL86" s="87"/>
      <c r="AM86" s="87"/>
      <c r="AN86" s="87"/>
    </row>
    <row r="87" spans="1:40" ht="15.75" thickBot="1" x14ac:dyDescent="0.3">
      <c r="A87" s="15" t="s">
        <v>128</v>
      </c>
      <c r="B87" s="15"/>
      <c r="C87" s="15"/>
      <c r="D87" s="90"/>
      <c r="E87" s="90"/>
      <c r="F87" s="91"/>
      <c r="G87" s="91"/>
      <c r="H87" s="91"/>
      <c r="I87" s="92"/>
      <c r="J87" s="90"/>
      <c r="K87" s="91"/>
      <c r="L87" s="91"/>
      <c r="M87" s="91"/>
      <c r="N87" s="91"/>
      <c r="O87" s="91"/>
      <c r="P87" s="91"/>
      <c r="Q87" s="91"/>
      <c r="R87" s="91"/>
      <c r="S87" s="92"/>
      <c r="T87" s="90"/>
      <c r="U87" s="91"/>
      <c r="V87" s="91"/>
      <c r="W87" s="91"/>
      <c r="X87" s="92"/>
      <c r="Y87" s="92"/>
      <c r="Z87" s="92"/>
      <c r="AA87" s="92"/>
      <c r="AB87" s="92"/>
      <c r="AC87" s="92"/>
      <c r="AD87" s="91"/>
      <c r="AE87" s="93"/>
      <c r="AF87" s="92"/>
      <c r="AG87" s="92"/>
      <c r="AH87" s="92"/>
      <c r="AI87" s="93"/>
      <c r="AJ87" s="92"/>
      <c r="AK87" s="92"/>
      <c r="AL87" s="92"/>
      <c r="AM87" s="92"/>
      <c r="AN87" s="92"/>
    </row>
    <row r="88" spans="1:40" ht="16.5" thickBot="1" x14ac:dyDescent="0.3">
      <c r="D88" s="94">
        <f>SUM(D85,D81)</f>
        <v>2612491.541880169</v>
      </c>
      <c r="E88" s="94">
        <f>SUM(E85,E81)</f>
        <v>221485.14956981316</v>
      </c>
      <c r="F88" s="94">
        <f t="shared" ref="F88:AN88" si="13">SUM(F85,F81)</f>
        <v>110648.05544934455</v>
      </c>
      <c r="G88" s="94">
        <f t="shared" si="13"/>
        <v>31003.944967980977</v>
      </c>
      <c r="H88" s="94">
        <f t="shared" si="13"/>
        <v>2853.910210675167</v>
      </c>
      <c r="I88" s="95">
        <f t="shared" si="13"/>
        <v>24963.280802596026</v>
      </c>
      <c r="J88" s="94">
        <f t="shared" si="13"/>
        <v>282121.19990017591</v>
      </c>
      <c r="K88" s="96">
        <f t="shared" si="13"/>
        <v>0</v>
      </c>
      <c r="L88" s="96">
        <f t="shared" si="13"/>
        <v>0</v>
      </c>
      <c r="M88" s="96">
        <f t="shared" si="13"/>
        <v>4006.8335592042313</v>
      </c>
      <c r="N88" s="96">
        <f t="shared" si="13"/>
        <v>0</v>
      </c>
      <c r="O88" s="96">
        <f t="shared" si="13"/>
        <v>0</v>
      </c>
      <c r="P88" s="96">
        <f t="shared" si="13"/>
        <v>8362.0874279044838</v>
      </c>
      <c r="Q88" s="96">
        <f t="shared" si="13"/>
        <v>1309286.1424817403</v>
      </c>
      <c r="R88" s="96">
        <f t="shared" si="13"/>
        <v>0</v>
      </c>
      <c r="S88" s="97">
        <f t="shared" si="13"/>
        <v>40562.21219270517</v>
      </c>
      <c r="T88" s="94">
        <f t="shared" si="13"/>
        <v>0</v>
      </c>
      <c r="U88" s="96">
        <f t="shared" si="13"/>
        <v>0</v>
      </c>
      <c r="V88" s="96">
        <f t="shared" si="13"/>
        <v>0</v>
      </c>
      <c r="W88" s="96">
        <f t="shared" si="13"/>
        <v>5179.3185304845629</v>
      </c>
      <c r="X88" s="97">
        <f t="shared" si="13"/>
        <v>0</v>
      </c>
      <c r="Y88" s="94">
        <f t="shared" si="13"/>
        <v>56851.137355806539</v>
      </c>
      <c r="Z88" s="96">
        <f t="shared" si="13"/>
        <v>382.5</v>
      </c>
      <c r="AA88" s="96">
        <f t="shared" si="13"/>
        <v>0</v>
      </c>
      <c r="AB88" s="96">
        <f t="shared" si="13"/>
        <v>24594.985940752216</v>
      </c>
      <c r="AC88" s="96">
        <f t="shared" si="13"/>
        <v>0</v>
      </c>
      <c r="AD88" s="96">
        <f t="shared" si="13"/>
        <v>3177.5</v>
      </c>
      <c r="AE88" s="96">
        <f t="shared" si="13"/>
        <v>0</v>
      </c>
      <c r="AF88" s="96">
        <f t="shared" si="13"/>
        <v>0</v>
      </c>
      <c r="AG88" s="96">
        <f t="shared" si="13"/>
        <v>95976.386310542584</v>
      </c>
      <c r="AH88" s="96">
        <f t="shared" si="13"/>
        <v>2682</v>
      </c>
      <c r="AI88" s="96">
        <f t="shared" si="13"/>
        <v>22629.382350894986</v>
      </c>
      <c r="AJ88" s="96">
        <f t="shared" si="13"/>
        <v>96961.384108435843</v>
      </c>
      <c r="AK88" s="96">
        <f t="shared" si="13"/>
        <v>0</v>
      </c>
      <c r="AL88" s="96">
        <f t="shared" si="13"/>
        <v>0</v>
      </c>
      <c r="AM88" s="96">
        <f t="shared" si="13"/>
        <v>6476.9593433762657</v>
      </c>
      <c r="AN88" s="97">
        <f t="shared" si="13"/>
        <v>5416.4689631601341</v>
      </c>
    </row>
  </sheetData>
  <mergeCells count="13">
    <mergeCell ref="AE35:AH35"/>
    <mergeCell ref="AI35:AN35"/>
    <mergeCell ref="E2:I2"/>
    <mergeCell ref="J2:S2"/>
    <mergeCell ref="T2:X2"/>
    <mergeCell ref="Y2:AD2"/>
    <mergeCell ref="AE2:AH2"/>
    <mergeCell ref="AI2:AN2"/>
    <mergeCell ref="B67:C67"/>
    <mergeCell ref="E35:I35"/>
    <mergeCell ref="J35:S35"/>
    <mergeCell ref="T35:X35"/>
    <mergeCell ref="Y35:AD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PY08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O'Dell</dc:creator>
  <cp:lastModifiedBy>Vivian O'Dell</cp:lastModifiedBy>
  <dcterms:created xsi:type="dcterms:W3CDTF">2022-05-24T21:11:19Z</dcterms:created>
  <dcterms:modified xsi:type="dcterms:W3CDTF">2022-05-24T21:25:30Z</dcterms:modified>
</cp:coreProperties>
</file>