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1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uwprod.sharepoint.com/sites/icecubeupgrade/PY4 Rebaseline Documents/Logistics/"/>
    </mc:Choice>
  </mc:AlternateContent>
  <xr:revisionPtr revIDLastSave="890" documentId="13_ncr:20001_{E76EC756-B868-0044-89AA-9FBCE160209A}" xr6:coauthVersionLast="47" xr6:coauthVersionMax="47" xr10:uidLastSave="{CBBCB287-16EF-5B46-BCE4-9CE2A96EABF0}"/>
  <bookViews>
    <workbookView xWindow="1560" yWindow="1560" windowWidth="23380" windowHeight="13540" activeTab="2" xr2:uid="{17478D1A-0FB5-4DDC-8E50-16A6DB92C1CB}"/>
  </bookViews>
  <sheets>
    <sheet name="MASTER INPUT SHEET" sheetId="2" r:id="rId1"/>
    <sheet name="Floats" sheetId="26" r:id="rId2"/>
    <sheet name="Summary tables" sheetId="22" r:id="rId3"/>
    <sheet name="Southbound by Season" sheetId="16" r:id="rId4"/>
    <sheet name="Intra Inter Cargo Summary" sheetId="24" r:id="rId5"/>
    <sheet name="Project Roll Up" sheetId="23" r:id="rId6"/>
    <sheet name="Retro" sheetId="18" r:id="rId7"/>
  </sheets>
  <definedNames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1</definedName>
    <definedName name="_AtRisk_SimSetting_StdRecalcWithoutRiskStaticPercentile" hidden="1">0.5</definedName>
    <definedName name="_xlnm._FilterDatabase" localSheetId="0" hidden="1">'MASTER INPUT SHEET'!$A$1:$AT$108</definedName>
    <definedName name="_xlnm._FilterDatabase" localSheetId="6" hidden="1">Retro!#REF!</definedName>
    <definedName name="_xlnm._FilterDatabase" localSheetId="3" hidden="1">'Southbound by Season'!$AC$1:$AD$307</definedName>
    <definedName name="ACL">'Intra Inter Cargo Summary'!$AG$15</definedName>
    <definedName name="cargo_table">'MASTER INPUT SHEET'!$A$1:$AT$108</definedName>
    <definedName name="date_completion">'MASTER INPUT SHEET'!$Q1048466:$Q1048573</definedName>
    <definedName name="end_FY">'MASTER INPUT SHEET'!$B$145:$B$149</definedName>
    <definedName name="forty_dry">'MASTER INPUT SHEET'!$Z$1:$Z$108</definedName>
    <definedName name="forty_flat">'MASTER INPUT SHEET'!$Y$1:$Y$108</definedName>
    <definedName name="fuel_total_gallons">'MASTER INPUT SHEET'!$H$107</definedName>
    <definedName name="fuel_total_volume">'MASTER INPUT SHEET'!$J$107</definedName>
    <definedName name="fuel_total_weight">'MASTER INPUT SHEET'!$L$107</definedName>
    <definedName name="FY_dates">'MASTER INPUT SHEET'!$A$145:$B$149</definedName>
    <definedName name="inter_label">'MASTER INPUT SHEET'!$C$145:$C$149</definedName>
    <definedName name="inter_pallets">'MASTER INPUT SHEET'!$AC$1:$AC$108</definedName>
    <definedName name="inter_shipping_label">'MASTER INPUT SHEET'!$V$1:$V$108</definedName>
    <definedName name="intra_label">'MASTER INPUT SHEET'!$D$145:$D$149</definedName>
    <definedName name="intra_pallets">'MASTER INPUT SHEET'!$AJ$1:$AJ$108</definedName>
    <definedName name="intra_shipping_label">'MASTER INPUT SHEET'!$AE$1:$AE$108</definedName>
    <definedName name="item_description">'MASTER INPUT SHEET'!$C$2:$C$97</definedName>
    <definedName name="lc_gallons">'Intra Inter Cargo Summary'!$AG$16</definedName>
    <definedName name="lc_pallets">'Intra Inter Cargo Summary'!$AG$17</definedName>
    <definedName name="mcMurdo_date">'MASTER INPUT SHEET'!$AD:$AD</definedName>
    <definedName name="npx_float">'MASTER INPUT SHEET'!$AM$2:$AM$97</definedName>
    <definedName name="pallet_extra_weight">'Project Roll Up'!$N$2</definedName>
    <definedName name="pole_date">'MASTER INPUT SHEET'!$AL:$AL</definedName>
    <definedName name="quantity">'MASTER INPUT SHEET'!$H$1:$H$108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0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oute">'MASTER INPUT SHEET'!$S$1:$S$108</definedName>
    <definedName name="shipping_float">'MASTER INPUT SHEET'!$P$2:$P$97</definedName>
    <definedName name="sleds_spot1">'MASTER INPUT SHEET'!$AG$1:$AG$108</definedName>
    <definedName name="sleds_spot2">'MASTER INPUT SHEET'!$AH$1:$AH$108</definedName>
    <definedName name="sleds_spot3">'MASTER INPUT SHEET'!$AI$1:$AI$108</definedName>
    <definedName name="special_handling">'MASTER INPUT SHEET'!$N$2:$N$97</definedName>
    <definedName name="spot_lc">'MASTER INPUT SHEET'!$AF$1:$AF$108</definedName>
    <definedName name="start_FY">'MASTER INPUT SHEET'!$A$145:$A$149</definedName>
    <definedName name="total_volume">'Summary tables'!$D$16</definedName>
    <definedName name="total_weight">'Summary tables'!$F$16</definedName>
    <definedName name="transit_time">'MASTER INPUT SHEET'!$AN$2:$AN$97</definedName>
    <definedName name="twenty_dry">'MASTER INPUT SHEET'!$AA$1:$AA$108</definedName>
    <definedName name="twenty_flat">'MASTER INPUT SHEET'!$AB$1:$AB$108</definedName>
    <definedName name="vessel_comsur">'MASTER INPUT SHEET'!$W$1:$W$108</definedName>
    <definedName name="volume">'MASTER INPUT SHEET'!$J$1:$J$108</definedName>
    <definedName name="weight">'MASTER INPUT SHEET'!$L$1:$L$108</definedName>
    <definedName name="work_package">'MASTER INPUT SHEET'!$B$1:$B$108</definedName>
  </definedNames>
  <calcPr calcId="191028" calcCompleted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" i="26" l="1"/>
  <c r="C2" i="26" a="1"/>
  <c r="C2" i="26"/>
  <c r="J105" i="2"/>
  <c r="J106" i="2"/>
  <c r="J102" i="2"/>
  <c r="J103" i="2"/>
  <c r="J104" i="2"/>
  <c r="J101" i="2"/>
  <c r="L35" i="2"/>
  <c r="L39" i="2"/>
  <c r="L73" i="2"/>
  <c r="L47" i="2"/>
  <c r="D137" i="2"/>
  <c r="D135" i="2"/>
  <c r="D136" i="2"/>
  <c r="D141" i="2"/>
  <c r="N24" i="24"/>
  <c r="V24" i="24"/>
  <c r="Y24" i="24"/>
  <c r="AB24" i="24"/>
  <c r="AC24" i="24"/>
  <c r="N28" i="24"/>
  <c r="V28" i="24"/>
  <c r="Y28" i="24"/>
  <c r="AB28" i="24"/>
  <c r="N20" i="24"/>
  <c r="V20" i="24"/>
  <c r="Y20" i="24"/>
  <c r="AB20" i="24"/>
  <c r="AC20" i="24"/>
  <c r="N16" i="24"/>
  <c r="V16" i="24"/>
  <c r="Y16" i="24"/>
  <c r="AB16" i="24"/>
  <c r="B2" i="26" a="1"/>
  <c r="B2" i="26"/>
  <c r="F14" i="22"/>
  <c r="N10" i="22"/>
  <c r="F15" i="22"/>
  <c r="N11" i="22"/>
  <c r="F3" i="22"/>
  <c r="N3" i="22"/>
  <c r="N9" i="22"/>
  <c r="N12" i="22"/>
  <c r="O10" i="22"/>
  <c r="O11" i="22"/>
  <c r="O9" i="22"/>
  <c r="D14" i="22"/>
  <c r="L10" i="22"/>
  <c r="D15" i="22"/>
  <c r="L11" i="22"/>
  <c r="L12" i="22"/>
  <c r="M10" i="22"/>
  <c r="F1" i="26"/>
  <c r="K11" i="22"/>
  <c r="E1" i="26"/>
  <c r="D1" i="26"/>
  <c r="AF78" i="2"/>
  <c r="AF91" i="2"/>
  <c r="AF92" i="2"/>
  <c r="AF93" i="2"/>
  <c r="AF94" i="2"/>
  <c r="AF95" i="2"/>
  <c r="AF96" i="2"/>
  <c r="AF97" i="2"/>
  <c r="AF86" i="2"/>
  <c r="AF87" i="2"/>
  <c r="AF88" i="2"/>
  <c r="AF89" i="2"/>
  <c r="AF82" i="2"/>
  <c r="AF83" i="2"/>
  <c r="AF84" i="2"/>
  <c r="AF85" i="2"/>
  <c r="AF79" i="2"/>
  <c r="AF81" i="2"/>
  <c r="AF73" i="2"/>
  <c r="AF74" i="2"/>
  <c r="AF75" i="2"/>
  <c r="AF76" i="2"/>
  <c r="AF72" i="2"/>
  <c r="AF68" i="2"/>
  <c r="AF69" i="2"/>
  <c r="AF70" i="2"/>
  <c r="AF71" i="2"/>
  <c r="AF60" i="2"/>
  <c r="AF61" i="2"/>
  <c r="AF62" i="2"/>
  <c r="AF63" i="2"/>
  <c r="AF64" i="2"/>
  <c r="AF65" i="2"/>
  <c r="AF66" i="2"/>
  <c r="AF58" i="2"/>
  <c r="AF59" i="2"/>
  <c r="AF55" i="2"/>
  <c r="AF56" i="2"/>
  <c r="AF57" i="2"/>
  <c r="AF52" i="2"/>
  <c r="AF53" i="2"/>
  <c r="AF54" i="2"/>
  <c r="AF50" i="2"/>
  <c r="AF51" i="2"/>
  <c r="AF48" i="2"/>
  <c r="AF49" i="2"/>
  <c r="AF47" i="2"/>
  <c r="AF44" i="2"/>
  <c r="AF45" i="2"/>
  <c r="AF46" i="2"/>
  <c r="AF40" i="2"/>
  <c r="AF41" i="2"/>
  <c r="AF42" i="2"/>
  <c r="AF43" i="2"/>
  <c r="AF39" i="2"/>
  <c r="AF31" i="2"/>
  <c r="AF32" i="2"/>
  <c r="AF34" i="2"/>
  <c r="AF35" i="2"/>
  <c r="AF36" i="2"/>
  <c r="AF37" i="2"/>
  <c r="AF38" i="2"/>
  <c r="AF2" i="2"/>
  <c r="AF3" i="2"/>
  <c r="AF4" i="2"/>
  <c r="AF5" i="2"/>
  <c r="AF6" i="2"/>
  <c r="AF8" i="2"/>
  <c r="AF9" i="2"/>
  <c r="AF10" i="2"/>
  <c r="AF11" i="2"/>
  <c r="AF12" i="2"/>
  <c r="AF13" i="2"/>
  <c r="AF14" i="2"/>
  <c r="AF15" i="2"/>
  <c r="AF16" i="2"/>
  <c r="AF17" i="2"/>
  <c r="AF18" i="2"/>
  <c r="AF19" i="2"/>
  <c r="AF20" i="2"/>
  <c r="AF21" i="2"/>
  <c r="AF22" i="2"/>
  <c r="AF23" i="2"/>
  <c r="AF24" i="2"/>
  <c r="AF25" i="2"/>
  <c r="AF26" i="2"/>
  <c r="AF27" i="2"/>
  <c r="AF29" i="2"/>
  <c r="AF30" i="2"/>
  <c r="AN30" i="2"/>
  <c r="AN10" i="2"/>
  <c r="AN11" i="2"/>
  <c r="AN12" i="2"/>
  <c r="AN13" i="2"/>
  <c r="AN14" i="2"/>
  <c r="AN15" i="2"/>
  <c r="AN16" i="2"/>
  <c r="AN17" i="2"/>
  <c r="AN18" i="2"/>
  <c r="AN19" i="2"/>
  <c r="AN20" i="2"/>
  <c r="AN21" i="2"/>
  <c r="AN22" i="2"/>
  <c r="AN23" i="2"/>
  <c r="AN24" i="2"/>
  <c r="AN25" i="2"/>
  <c r="AN26" i="2"/>
  <c r="AN27" i="2"/>
  <c r="AN31" i="2"/>
  <c r="AN32" i="2"/>
  <c r="AN35" i="2"/>
  <c r="AN36" i="2"/>
  <c r="AN37" i="2"/>
  <c r="AN38" i="2"/>
  <c r="AN39" i="2"/>
  <c r="AN40" i="2"/>
  <c r="AN41" i="2"/>
  <c r="AN42" i="2"/>
  <c r="AN43" i="2"/>
  <c r="AN44" i="2"/>
  <c r="AN45" i="2"/>
  <c r="AN46" i="2"/>
  <c r="AN47" i="2"/>
  <c r="AN48" i="2"/>
  <c r="AN49" i="2"/>
  <c r="AN50" i="2"/>
  <c r="AN51" i="2"/>
  <c r="AN52" i="2"/>
  <c r="AN53" i="2"/>
  <c r="AN54" i="2"/>
  <c r="AN55" i="2"/>
  <c r="AN56" i="2"/>
  <c r="AN57" i="2"/>
  <c r="AN58" i="2"/>
  <c r="AN59" i="2"/>
  <c r="AN60" i="2"/>
  <c r="AN61" i="2"/>
  <c r="AN62" i="2"/>
  <c r="AN63" i="2"/>
  <c r="AN64" i="2"/>
  <c r="AN65" i="2"/>
  <c r="AN66" i="2"/>
  <c r="AN69" i="2"/>
  <c r="AN70" i="2"/>
  <c r="AN71" i="2"/>
  <c r="AN72" i="2"/>
  <c r="AN73" i="2"/>
  <c r="AN74" i="2"/>
  <c r="AN75" i="2"/>
  <c r="AN76" i="2"/>
  <c r="AN79" i="2"/>
  <c r="AN82" i="2"/>
  <c r="AN83" i="2"/>
  <c r="AN84" i="2"/>
  <c r="AN85" i="2"/>
  <c r="AN86" i="2"/>
  <c r="AN87" i="2"/>
  <c r="AN88" i="2"/>
  <c r="AN89" i="2"/>
  <c r="AN92" i="2"/>
  <c r="AN93" i="2"/>
  <c r="AN94" i="2"/>
  <c r="AN95" i="2"/>
  <c r="AN96" i="2"/>
  <c r="AN97" i="2"/>
  <c r="AN100" i="2"/>
  <c r="AN101" i="2"/>
  <c r="AN102" i="2"/>
  <c r="AN103" i="2"/>
  <c r="AN104" i="2"/>
  <c r="AN105" i="2"/>
  <c r="AN106" i="2"/>
  <c r="AN9" i="2"/>
  <c r="F2" i="26" a="1"/>
  <c r="F2" i="26"/>
  <c r="AM9" i="2"/>
  <c r="V97" i="2"/>
  <c r="V96" i="2"/>
  <c r="V92" i="2"/>
  <c r="V93" i="2"/>
  <c r="V94" i="2"/>
  <c r="V95" i="2"/>
  <c r="X16" i="24"/>
  <c r="X20" i="24"/>
  <c r="X24" i="24"/>
  <c r="X28" i="24"/>
  <c r="AF16" i="24"/>
  <c r="H107" i="2"/>
  <c r="AM43" i="2"/>
  <c r="AJ43" i="2"/>
  <c r="AE43" i="2"/>
  <c r="X43" i="2"/>
  <c r="V43" i="2"/>
  <c r="P43" i="2"/>
  <c r="L43" i="2"/>
  <c r="I43" i="2"/>
  <c r="J43" i="2"/>
  <c r="AM42" i="2"/>
  <c r="AJ42" i="2"/>
  <c r="AE42" i="2"/>
  <c r="X42" i="2"/>
  <c r="V42" i="2"/>
  <c r="P42" i="2"/>
  <c r="L42" i="2"/>
  <c r="I42" i="2"/>
  <c r="J42" i="2"/>
  <c r="V100" i="2"/>
  <c r="AE100" i="2"/>
  <c r="AE46" i="2"/>
  <c r="AE45" i="2"/>
  <c r="AE44" i="2"/>
  <c r="AE41" i="2"/>
  <c r="L100" i="2"/>
  <c r="J100" i="2"/>
  <c r="AM102" i="2"/>
  <c r="AE102" i="2"/>
  <c r="X102" i="2"/>
  <c r="V102" i="2"/>
  <c r="L102" i="2"/>
  <c r="AM101" i="2"/>
  <c r="AE101" i="2"/>
  <c r="X101" i="2"/>
  <c r="V101" i="2"/>
  <c r="L101" i="2"/>
  <c r="P47" i="2"/>
  <c r="X36" i="2"/>
  <c r="AE36" i="2"/>
  <c r="AE38" i="2"/>
  <c r="AE37" i="2"/>
  <c r="V37" i="2"/>
  <c r="V38" i="2"/>
  <c r="V36" i="2"/>
  <c r="I36" i="2"/>
  <c r="J36" i="2"/>
  <c r="I37" i="2"/>
  <c r="I47" i="2"/>
  <c r="J47" i="2"/>
  <c r="I39" i="2"/>
  <c r="J39" i="2"/>
  <c r="I38" i="2"/>
  <c r="J38" i="2"/>
  <c r="I40" i="2"/>
  <c r="I41" i="2"/>
  <c r="J41" i="2"/>
  <c r="I45" i="2"/>
  <c r="J45" i="2"/>
  <c r="I46" i="2"/>
  <c r="J46" i="2"/>
  <c r="I48" i="2"/>
  <c r="J48" i="2"/>
  <c r="I49" i="2"/>
  <c r="J49" i="2"/>
  <c r="AM48" i="2"/>
  <c r="X48" i="2"/>
  <c r="P48" i="2"/>
  <c r="L48" i="2"/>
  <c r="L49" i="2"/>
  <c r="AM49" i="2"/>
  <c r="X49" i="2"/>
  <c r="P49" i="2"/>
  <c r="V10" i="2"/>
  <c r="I3" i="18"/>
  <c r="H3" i="18"/>
  <c r="X3" i="2"/>
  <c r="X4" i="2"/>
  <c r="X5" i="2"/>
  <c r="X6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30" i="2"/>
  <c r="X31" i="2"/>
  <c r="X32" i="2"/>
  <c r="X39" i="2"/>
  <c r="X47" i="2"/>
  <c r="X37" i="2"/>
  <c r="X38" i="2"/>
  <c r="X40" i="2"/>
  <c r="X41" i="2"/>
  <c r="X44" i="2"/>
  <c r="X45" i="2"/>
  <c r="X46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9" i="2"/>
  <c r="X70" i="2"/>
  <c r="X71" i="2"/>
  <c r="X72" i="2"/>
  <c r="X73" i="2"/>
  <c r="X74" i="2"/>
  <c r="X75" i="2"/>
  <c r="X76" i="2"/>
  <c r="X79" i="2"/>
  <c r="X82" i="2"/>
  <c r="X83" i="2"/>
  <c r="X84" i="2"/>
  <c r="X85" i="2"/>
  <c r="X86" i="2"/>
  <c r="X87" i="2"/>
  <c r="X88" i="2"/>
  <c r="X89" i="2"/>
  <c r="X92" i="2"/>
  <c r="X93" i="2"/>
  <c r="X94" i="2"/>
  <c r="X95" i="2"/>
  <c r="X96" i="2"/>
  <c r="X97" i="2"/>
  <c r="X100" i="2"/>
  <c r="X103" i="2"/>
  <c r="X104" i="2"/>
  <c r="X105" i="2"/>
  <c r="X106" i="2"/>
  <c r="X9" i="2"/>
  <c r="X10" i="2"/>
  <c r="W32" i="24"/>
  <c r="T20" i="24"/>
  <c r="I93" i="2"/>
  <c r="J93" i="2"/>
  <c r="I94" i="2"/>
  <c r="J94" i="2"/>
  <c r="I95" i="2"/>
  <c r="J95" i="2"/>
  <c r="I96" i="2"/>
  <c r="J96" i="2"/>
  <c r="I97" i="2"/>
  <c r="J97" i="2"/>
  <c r="I92" i="2"/>
  <c r="J92" i="2"/>
  <c r="I83" i="2"/>
  <c r="J83" i="2"/>
  <c r="I84" i="2"/>
  <c r="J84" i="2"/>
  <c r="I85" i="2"/>
  <c r="J85" i="2"/>
  <c r="I86" i="2"/>
  <c r="J86" i="2"/>
  <c r="I87" i="2"/>
  <c r="J87" i="2"/>
  <c r="I88" i="2"/>
  <c r="J88" i="2"/>
  <c r="I89" i="2"/>
  <c r="J89" i="2"/>
  <c r="I82" i="2"/>
  <c r="J82" i="2"/>
  <c r="I79" i="2"/>
  <c r="I70" i="2"/>
  <c r="J70" i="2"/>
  <c r="I71" i="2"/>
  <c r="J71" i="2"/>
  <c r="I72" i="2"/>
  <c r="J72" i="2"/>
  <c r="I73" i="2"/>
  <c r="J73" i="2"/>
  <c r="I74" i="2"/>
  <c r="J74" i="2"/>
  <c r="I75" i="2"/>
  <c r="J75" i="2"/>
  <c r="I76" i="2"/>
  <c r="J76" i="2"/>
  <c r="I69" i="2"/>
  <c r="J69" i="2"/>
  <c r="I63" i="2"/>
  <c r="J63" i="2"/>
  <c r="I64" i="2"/>
  <c r="J64" i="2"/>
  <c r="I65" i="2"/>
  <c r="J65" i="2"/>
  <c r="I66" i="2"/>
  <c r="J66" i="2"/>
  <c r="I44" i="2"/>
  <c r="J44" i="2"/>
  <c r="I50" i="2"/>
  <c r="J50" i="2"/>
  <c r="I51" i="2"/>
  <c r="J51" i="2"/>
  <c r="I52" i="2"/>
  <c r="J52" i="2"/>
  <c r="I53" i="2"/>
  <c r="J53" i="2"/>
  <c r="I54" i="2"/>
  <c r="J54" i="2"/>
  <c r="I55" i="2"/>
  <c r="J55" i="2"/>
  <c r="I56" i="2"/>
  <c r="J56" i="2"/>
  <c r="I57" i="2"/>
  <c r="J57" i="2"/>
  <c r="I58" i="2"/>
  <c r="J58" i="2"/>
  <c r="I59" i="2"/>
  <c r="J59" i="2"/>
  <c r="I60" i="2"/>
  <c r="J60" i="2"/>
  <c r="I61" i="2"/>
  <c r="J61" i="2"/>
  <c r="I62" i="2"/>
  <c r="J62" i="2"/>
  <c r="I35" i="2"/>
  <c r="J35" i="2"/>
  <c r="J37" i="2"/>
  <c r="I31" i="2"/>
  <c r="J31" i="2"/>
  <c r="I32" i="2"/>
  <c r="J32" i="2"/>
  <c r="I30" i="2"/>
  <c r="J30" i="2"/>
  <c r="C32" i="22"/>
  <c r="I10" i="2"/>
  <c r="J10" i="2"/>
  <c r="I11" i="2"/>
  <c r="J11" i="2"/>
  <c r="I12" i="2"/>
  <c r="J12" i="2"/>
  <c r="I13" i="2"/>
  <c r="J13" i="2"/>
  <c r="I14" i="2"/>
  <c r="J14" i="2"/>
  <c r="I15" i="2"/>
  <c r="J15" i="2"/>
  <c r="I16" i="2"/>
  <c r="J16" i="2"/>
  <c r="I17" i="2"/>
  <c r="J17" i="2"/>
  <c r="I18" i="2"/>
  <c r="J18" i="2"/>
  <c r="I19" i="2"/>
  <c r="J19" i="2"/>
  <c r="I20" i="2"/>
  <c r="J20" i="2"/>
  <c r="I21" i="2"/>
  <c r="J21" i="2"/>
  <c r="I22" i="2"/>
  <c r="J22" i="2"/>
  <c r="I23" i="2"/>
  <c r="J23" i="2"/>
  <c r="I24" i="2"/>
  <c r="J24" i="2"/>
  <c r="I25" i="2"/>
  <c r="J25" i="2"/>
  <c r="I26" i="2"/>
  <c r="J26" i="2"/>
  <c r="I27" i="2"/>
  <c r="J27" i="2"/>
  <c r="I9" i="2"/>
  <c r="J9" i="2"/>
  <c r="AE27" i="2"/>
  <c r="J40" i="2"/>
  <c r="AJ97" i="2"/>
  <c r="AJ94" i="2"/>
  <c r="AJ95" i="2"/>
  <c r="AJ96" i="2"/>
  <c r="AJ93" i="2"/>
  <c r="AJ92" i="2"/>
  <c r="AJ89" i="2"/>
  <c r="AJ88" i="2"/>
  <c r="AJ87" i="2"/>
  <c r="AJ86" i="2"/>
  <c r="AJ85" i="2"/>
  <c r="AJ84" i="2"/>
  <c r="AJ35" i="2"/>
  <c r="AJ39" i="2"/>
  <c r="AJ47" i="2"/>
  <c r="AJ37" i="2"/>
  <c r="AJ38" i="2"/>
  <c r="AJ40" i="2"/>
  <c r="AJ41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36" i="2"/>
  <c r="AC90" i="2"/>
  <c r="O18" i="24"/>
  <c r="AC98" i="2"/>
  <c r="D5" i="22"/>
  <c r="D6" i="22"/>
  <c r="J67" i="2"/>
  <c r="C26" i="22"/>
  <c r="L26" i="22"/>
  <c r="E35" i="22"/>
  <c r="N33" i="22"/>
  <c r="C27" i="22"/>
  <c r="C25" i="22"/>
  <c r="C31" i="22"/>
  <c r="C35" i="22"/>
  <c r="P28" i="24"/>
  <c r="G24" i="23"/>
  <c r="P24" i="24"/>
  <c r="U24" i="24"/>
  <c r="T28" i="24"/>
  <c r="O29" i="24"/>
  <c r="T24" i="24"/>
  <c r="O25" i="24"/>
  <c r="T16" i="24"/>
  <c r="P15" i="24"/>
  <c r="O21" i="24"/>
  <c r="P20" i="24"/>
  <c r="U20" i="24"/>
  <c r="P16" i="24"/>
  <c r="U16" i="24"/>
  <c r="O17" i="24"/>
  <c r="O15" i="24"/>
  <c r="O28" i="24"/>
  <c r="O24" i="24"/>
  <c r="O20" i="24"/>
  <c r="O16" i="24"/>
  <c r="O31" i="24"/>
  <c r="O27" i="24"/>
  <c r="O23" i="24"/>
  <c r="O19" i="24"/>
  <c r="O30" i="24"/>
  <c r="O26" i="24"/>
  <c r="O22" i="24"/>
  <c r="AC16" i="24"/>
  <c r="U28" i="24"/>
  <c r="L33" i="22"/>
  <c r="G6" i="23"/>
  <c r="G12" i="23"/>
  <c r="G18" i="23"/>
  <c r="P32" i="24"/>
  <c r="O32" i="24"/>
  <c r="J18" i="23"/>
  <c r="J12" i="23"/>
  <c r="J24" i="23"/>
  <c r="T32" i="24"/>
  <c r="J6" i="23"/>
  <c r="N31" i="24"/>
  <c r="M31" i="24"/>
  <c r="N30" i="24"/>
  <c r="AN26" i="24"/>
  <c r="M30" i="24"/>
  <c r="N27" i="24"/>
  <c r="AL38" i="24"/>
  <c r="M27" i="24"/>
  <c r="N23" i="24"/>
  <c r="AJ38" i="24"/>
  <c r="M23" i="24"/>
  <c r="N22" i="24"/>
  <c r="AJ37" i="24"/>
  <c r="M22" i="24"/>
  <c r="M16" i="24"/>
  <c r="AL35" i="24"/>
  <c r="AL24" i="24"/>
  <c r="AJ27" i="24"/>
  <c r="AJ35" i="24"/>
  <c r="AJ24" i="24"/>
  <c r="AJ26" i="24"/>
  <c r="AL27" i="24"/>
  <c r="AH35" i="24"/>
  <c r="AH24" i="24"/>
  <c r="AN37" i="24"/>
  <c r="Z16" i="24"/>
  <c r="AA16" i="24"/>
  <c r="U32" i="24"/>
  <c r="AC28" i="24"/>
  <c r="G31" i="23"/>
  <c r="J31" i="23"/>
  <c r="L7" i="2"/>
  <c r="J7" i="2"/>
  <c r="AM31" i="2"/>
  <c r="AM32" i="2"/>
  <c r="AM30" i="2"/>
  <c r="L70" i="2"/>
  <c r="L69" i="2"/>
  <c r="AN35" i="24"/>
  <c r="AN24" i="24"/>
  <c r="AH34" i="24"/>
  <c r="AH23" i="24"/>
  <c r="AB32" i="24"/>
  <c r="H6" i="23"/>
  <c r="I6" i="23"/>
  <c r="AE35" i="2"/>
  <c r="AE39" i="2"/>
  <c r="AE47" i="2"/>
  <c r="AE40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9" i="2"/>
  <c r="AE70" i="2"/>
  <c r="AE71" i="2"/>
  <c r="AE72" i="2"/>
  <c r="AE73" i="2"/>
  <c r="AE74" i="2"/>
  <c r="AE75" i="2"/>
  <c r="AE76" i="2"/>
  <c r="AE79" i="2"/>
  <c r="AE82" i="2"/>
  <c r="AE83" i="2"/>
  <c r="AE84" i="2"/>
  <c r="AE85" i="2"/>
  <c r="AE86" i="2"/>
  <c r="AE87" i="2"/>
  <c r="AE88" i="2"/>
  <c r="AE89" i="2"/>
  <c r="AE92" i="2"/>
  <c r="AE93" i="2"/>
  <c r="AE94" i="2"/>
  <c r="AE95" i="2"/>
  <c r="AE96" i="2"/>
  <c r="AE97" i="2"/>
  <c r="AE103" i="2"/>
  <c r="AE104" i="2"/>
  <c r="AE105" i="2"/>
  <c r="AE106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30" i="2"/>
  <c r="AE31" i="2"/>
  <c r="AE32" i="2"/>
  <c r="AE9" i="2"/>
  <c r="AM103" i="2"/>
  <c r="AM104" i="2"/>
  <c r="AM105" i="2"/>
  <c r="AM106" i="2"/>
  <c r="AM100" i="2"/>
  <c r="AM93" i="2"/>
  <c r="AM94" i="2"/>
  <c r="AM95" i="2"/>
  <c r="AM96" i="2"/>
  <c r="AM97" i="2"/>
  <c r="AM92" i="2"/>
  <c r="AM87" i="2"/>
  <c r="AM88" i="2"/>
  <c r="AM89" i="2"/>
  <c r="AM83" i="2"/>
  <c r="AM84" i="2"/>
  <c r="AM85" i="2"/>
  <c r="AM86" i="2"/>
  <c r="AM82" i="2"/>
  <c r="AM79" i="2"/>
  <c r="AM74" i="2"/>
  <c r="AM75" i="2"/>
  <c r="AM76" i="2"/>
  <c r="AM70" i="2"/>
  <c r="AM71" i="2"/>
  <c r="AM72" i="2"/>
  <c r="AM73" i="2"/>
  <c r="AM69" i="2"/>
  <c r="AM64" i="2"/>
  <c r="AM65" i="2"/>
  <c r="AM66" i="2"/>
  <c r="AM59" i="2"/>
  <c r="AM60" i="2"/>
  <c r="AM61" i="2"/>
  <c r="AM62" i="2"/>
  <c r="AM63" i="2"/>
  <c r="AM50" i="2"/>
  <c r="AM51" i="2"/>
  <c r="AM52" i="2"/>
  <c r="AM53" i="2"/>
  <c r="AM54" i="2"/>
  <c r="AM55" i="2"/>
  <c r="AM56" i="2"/>
  <c r="AM57" i="2"/>
  <c r="AM58" i="2"/>
  <c r="AM37" i="2"/>
  <c r="AM38" i="2"/>
  <c r="AM40" i="2"/>
  <c r="AM41" i="2"/>
  <c r="AM44" i="2"/>
  <c r="AM45" i="2"/>
  <c r="AM46" i="2"/>
  <c r="AM35" i="2"/>
  <c r="AM39" i="2"/>
  <c r="AM47" i="2"/>
  <c r="AM36" i="2"/>
  <c r="AM22" i="2"/>
  <c r="AM23" i="2"/>
  <c r="AM24" i="2"/>
  <c r="AM25" i="2"/>
  <c r="AM26" i="2"/>
  <c r="AM27" i="2"/>
  <c r="AM19" i="2"/>
  <c r="AM20" i="2"/>
  <c r="AM21" i="2"/>
  <c r="AM14" i="2"/>
  <c r="AM15" i="2"/>
  <c r="AM16" i="2"/>
  <c r="AM17" i="2"/>
  <c r="AM18" i="2"/>
  <c r="AM10" i="2"/>
  <c r="E2" i="26" a="1"/>
  <c r="E2" i="26"/>
  <c r="AM11" i="2"/>
  <c r="AM12" i="2"/>
  <c r="AM13" i="2"/>
  <c r="AC32" i="24"/>
  <c r="AE107" i="2"/>
  <c r="AE108" i="2"/>
  <c r="V103" i="2"/>
  <c r="V104" i="2"/>
  <c r="V105" i="2"/>
  <c r="V106" i="2"/>
  <c r="V107" i="2"/>
  <c r="V108" i="2"/>
  <c r="V33" i="2"/>
  <c r="B121" i="22" a="1"/>
  <c r="B121" i="22"/>
  <c r="B107" i="22" a="1"/>
  <c r="B107" i="22"/>
  <c r="B73" i="22" a="1"/>
  <c r="L23" i="2"/>
  <c r="V23" i="2"/>
  <c r="P39" i="2"/>
  <c r="P52" i="2"/>
  <c r="P37" i="2"/>
  <c r="P40" i="2"/>
  <c r="P41" i="2"/>
  <c r="P44" i="2"/>
  <c r="P45" i="2"/>
  <c r="P46" i="2"/>
  <c r="P38" i="2"/>
  <c r="P53" i="2"/>
  <c r="P54" i="2"/>
  <c r="P57" i="2"/>
  <c r="P58" i="2"/>
  <c r="P55" i="2"/>
  <c r="P59" i="2"/>
  <c r="P60" i="2"/>
  <c r="P56" i="2"/>
  <c r="P61" i="2"/>
  <c r="P62" i="2"/>
  <c r="P63" i="2"/>
  <c r="P64" i="2"/>
  <c r="P65" i="2"/>
  <c r="P66" i="2"/>
  <c r="P69" i="2"/>
  <c r="P70" i="2"/>
  <c r="P71" i="2"/>
  <c r="P72" i="2"/>
  <c r="P73" i="2"/>
  <c r="P74" i="2"/>
  <c r="P75" i="2"/>
  <c r="P76" i="2"/>
  <c r="P79" i="2"/>
  <c r="P82" i="2"/>
  <c r="P83" i="2"/>
  <c r="P84" i="2"/>
  <c r="P85" i="2"/>
  <c r="P86" i="2"/>
  <c r="P87" i="2"/>
  <c r="P88" i="2"/>
  <c r="P89" i="2"/>
  <c r="P92" i="2"/>
  <c r="P93" i="2"/>
  <c r="P94" i="2"/>
  <c r="P95" i="2"/>
  <c r="P96" i="2"/>
  <c r="P97" i="2"/>
  <c r="P36" i="2"/>
  <c r="P50" i="2"/>
  <c r="P51" i="2"/>
  <c r="P35" i="2"/>
  <c r="K26" i="22"/>
  <c r="K27" i="22"/>
  <c r="K25" i="22"/>
  <c r="K3" i="22"/>
  <c r="B93" i="22" a="1"/>
  <c r="B93" i="22"/>
  <c r="K7" i="22"/>
  <c r="K6" i="22"/>
  <c r="L106" i="2"/>
  <c r="H26" i="18"/>
  <c r="I26" i="18"/>
  <c r="V9" i="2"/>
  <c r="V11" i="2"/>
  <c r="V30" i="2"/>
  <c r="V12" i="2"/>
  <c r="V13" i="2"/>
  <c r="V31" i="2"/>
  <c r="V32" i="2"/>
  <c r="V14" i="2"/>
  <c r="V15" i="2"/>
  <c r="V16" i="2"/>
  <c r="V28" i="2"/>
  <c r="V24" i="2"/>
  <c r="V25" i="2"/>
  <c r="V26" i="2"/>
  <c r="V27" i="2"/>
  <c r="V7" i="2"/>
  <c r="AE7" i="2"/>
  <c r="V17" i="2"/>
  <c r="V18" i="2"/>
  <c r="V19" i="2"/>
  <c r="V20" i="2"/>
  <c r="V21" i="2"/>
  <c r="V22" i="2"/>
  <c r="V50" i="2"/>
  <c r="V51" i="2"/>
  <c r="V35" i="2"/>
  <c r="V39" i="2"/>
  <c r="V47" i="2"/>
  <c r="V52" i="2"/>
  <c r="V40" i="2"/>
  <c r="V41" i="2"/>
  <c r="V44" i="2"/>
  <c r="V45" i="2"/>
  <c r="V46" i="2"/>
  <c r="V53" i="2"/>
  <c r="V54" i="2"/>
  <c r="V57" i="2"/>
  <c r="V58" i="2"/>
  <c r="V55" i="2"/>
  <c r="V59" i="2"/>
  <c r="V60" i="2"/>
  <c r="V56" i="2"/>
  <c r="V61" i="2"/>
  <c r="V62" i="2"/>
  <c r="V63" i="2"/>
  <c r="V64" i="2"/>
  <c r="V65" i="2"/>
  <c r="V66" i="2"/>
  <c r="V67" i="2"/>
  <c r="V69" i="2"/>
  <c r="V70" i="2"/>
  <c r="V71" i="2"/>
  <c r="V72" i="2"/>
  <c r="V73" i="2"/>
  <c r="V75" i="2"/>
  <c r="V76" i="2"/>
  <c r="V77" i="2"/>
  <c r="V79" i="2"/>
  <c r="V80" i="2"/>
  <c r="V82" i="2"/>
  <c r="V83" i="2"/>
  <c r="V84" i="2"/>
  <c r="V85" i="2"/>
  <c r="V86" i="2"/>
  <c r="V87" i="2"/>
  <c r="V88" i="2"/>
  <c r="V89" i="2"/>
  <c r="V90" i="2"/>
  <c r="L75" i="2"/>
  <c r="L71" i="2"/>
  <c r="L72" i="2"/>
  <c r="L74" i="2"/>
  <c r="L76" i="2"/>
  <c r="M25" i="24"/>
  <c r="D9" i="22"/>
  <c r="L6" i="22"/>
  <c r="C42" i="22"/>
  <c r="J79" i="2"/>
  <c r="L9" i="2"/>
  <c r="L10" i="2"/>
  <c r="L11" i="2"/>
  <c r="L30" i="2"/>
  <c r="L12" i="2"/>
  <c r="L13" i="2"/>
  <c r="L31" i="2"/>
  <c r="L32" i="2"/>
  <c r="L14" i="2"/>
  <c r="L15" i="2"/>
  <c r="L16" i="2"/>
  <c r="L24" i="2"/>
  <c r="L25" i="2"/>
  <c r="L26" i="2"/>
  <c r="L27" i="2"/>
  <c r="L17" i="2"/>
  <c r="L18" i="2"/>
  <c r="L19" i="2"/>
  <c r="L20" i="2"/>
  <c r="L21" i="2"/>
  <c r="L22" i="2"/>
  <c r="L36" i="2"/>
  <c r="L50" i="2"/>
  <c r="L51" i="2"/>
  <c r="L52" i="2"/>
  <c r="L37" i="2"/>
  <c r="L40" i="2"/>
  <c r="L41" i="2"/>
  <c r="L44" i="2"/>
  <c r="L45" i="2"/>
  <c r="L46" i="2"/>
  <c r="L38" i="2"/>
  <c r="L53" i="2"/>
  <c r="F10" i="22"/>
  <c r="L54" i="2"/>
  <c r="L57" i="2"/>
  <c r="L58" i="2"/>
  <c r="L55" i="2"/>
  <c r="L59" i="2"/>
  <c r="L60" i="2"/>
  <c r="L56" i="2"/>
  <c r="L61" i="2"/>
  <c r="L62" i="2"/>
  <c r="L63" i="2"/>
  <c r="L64" i="2"/>
  <c r="L65" i="2"/>
  <c r="L66" i="2"/>
  <c r="L79" i="2"/>
  <c r="L82" i="2"/>
  <c r="L83" i="2"/>
  <c r="L84" i="2"/>
  <c r="L85" i="2"/>
  <c r="L86" i="2"/>
  <c r="L87" i="2"/>
  <c r="L88" i="2"/>
  <c r="L89" i="2"/>
  <c r="L92" i="2"/>
  <c r="L93" i="2"/>
  <c r="L94" i="2"/>
  <c r="L95" i="2"/>
  <c r="L96" i="2"/>
  <c r="L97" i="2"/>
  <c r="L103" i="2"/>
  <c r="L104" i="2"/>
  <c r="L105" i="2"/>
  <c r="I8" i="18"/>
  <c r="H8" i="18"/>
  <c r="I13" i="18"/>
  <c r="H13" i="18"/>
  <c r="D2" i="26" a="1"/>
  <c r="D2" i="26"/>
  <c r="N25" i="24"/>
  <c r="L90" i="2"/>
  <c r="F12" i="22"/>
  <c r="E34" i="22"/>
  <c r="N32" i="22"/>
  <c r="L107" i="2"/>
  <c r="F6" i="22"/>
  <c r="L67" i="2"/>
  <c r="L28" i="2"/>
  <c r="L112" i="2"/>
  <c r="M112" i="2"/>
  <c r="F8" i="22"/>
  <c r="F11" i="22"/>
  <c r="F9" i="22"/>
  <c r="N6" i="22"/>
  <c r="E42" i="22"/>
  <c r="E32" i="22"/>
  <c r="L33" i="2"/>
  <c r="L98" i="2"/>
  <c r="F4" i="22"/>
  <c r="L77" i="2"/>
  <c r="L80" i="2"/>
  <c r="F7" i="22"/>
  <c r="F5" i="22"/>
  <c r="A101" i="16" a="1"/>
  <c r="A101" i="16"/>
  <c r="E27" i="22"/>
  <c r="E31" i="22"/>
  <c r="L113" i="2"/>
  <c r="J80" i="2"/>
  <c r="H80" i="2"/>
  <c r="C34" i="22"/>
  <c r="L32" i="22"/>
  <c r="J107" i="2"/>
  <c r="E26" i="22"/>
  <c r="N26" i="22"/>
  <c r="A177" i="16" a="1"/>
  <c r="A72" i="16" a="1"/>
  <c r="M29" i="24"/>
  <c r="A216" i="16" a="1"/>
  <c r="A142" i="16" a="1"/>
  <c r="A17" i="16" a="1"/>
  <c r="A3" i="16" a="1"/>
  <c r="N21" i="24"/>
  <c r="M26" i="24"/>
  <c r="N19" i="24"/>
  <c r="N17" i="24"/>
  <c r="N18" i="24"/>
  <c r="M28" i="24"/>
  <c r="M21" i="24"/>
  <c r="M20" i="24"/>
  <c r="N29" i="24"/>
  <c r="N15" i="24"/>
  <c r="M19" i="24"/>
  <c r="M17" i="24"/>
  <c r="M18" i="24"/>
  <c r="J28" i="2"/>
  <c r="N26" i="24"/>
  <c r="M24" i="24"/>
  <c r="M15" i="24"/>
  <c r="M8" i="24"/>
  <c r="M6" i="24"/>
  <c r="M4" i="24"/>
  <c r="O5" i="24"/>
  <c r="O7" i="24"/>
  <c r="M7" i="24"/>
  <c r="M5" i="24"/>
  <c r="O8" i="24"/>
  <c r="O6" i="24"/>
  <c r="O4" i="24"/>
  <c r="C9" i="24"/>
  <c r="C6" i="24"/>
  <c r="C4" i="24"/>
  <c r="E10" i="24"/>
  <c r="E7" i="24"/>
  <c r="E5" i="24"/>
  <c r="E6" i="24"/>
  <c r="E4" i="24"/>
  <c r="C10" i="24"/>
  <c r="C7" i="24"/>
  <c r="C5" i="24"/>
  <c r="E9" i="24"/>
  <c r="B73" i="22"/>
  <c r="C73" i="22"/>
  <c r="C74" i="22"/>
  <c r="C75" i="22"/>
  <c r="C76" i="22"/>
  <c r="C78" i="22"/>
  <c r="C79" i="22"/>
  <c r="C77" i="22"/>
  <c r="D138" i="2"/>
  <c r="L25" i="22"/>
  <c r="E25" i="22"/>
  <c r="C138" i="2"/>
  <c r="C137" i="2"/>
  <c r="C136" i="2"/>
  <c r="C135" i="2"/>
  <c r="A248" i="16" a="1"/>
  <c r="J276" i="16"/>
  <c r="J98" i="2"/>
  <c r="H98" i="2"/>
  <c r="J90" i="2"/>
  <c r="H90" i="2"/>
  <c r="J77" i="2"/>
  <c r="H77" i="2"/>
  <c r="J33" i="2"/>
  <c r="H33" i="2"/>
  <c r="C107" i="22"/>
  <c r="E28" i="22"/>
  <c r="D17" i="22"/>
  <c r="L13" i="22"/>
  <c r="C28" i="22"/>
  <c r="L27" i="22"/>
  <c r="D121" i="22"/>
  <c r="D122" i="22"/>
  <c r="C108" i="22"/>
  <c r="D110" i="22"/>
  <c r="C124" i="22"/>
  <c r="F17" i="22"/>
  <c r="C110" i="22"/>
  <c r="D109" i="22"/>
  <c r="D124" i="22"/>
  <c r="C123" i="22"/>
  <c r="C109" i="22"/>
  <c r="D108" i="22"/>
  <c r="D123" i="22"/>
  <c r="C122" i="22"/>
  <c r="D7" i="22"/>
  <c r="D94" i="22"/>
  <c r="D10" i="22"/>
  <c r="L7" i="22"/>
  <c r="D12" i="22"/>
  <c r="G74" i="22"/>
  <c r="D3" i="22"/>
  <c r="D8" i="22"/>
  <c r="D11" i="22"/>
  <c r="C96" i="22"/>
  <c r="C102" i="22"/>
  <c r="C29" i="22"/>
  <c r="L29" i="22"/>
  <c r="C94" i="22"/>
  <c r="D95" i="22"/>
  <c r="D101" i="22"/>
  <c r="E29" i="22"/>
  <c r="N29" i="22"/>
  <c r="L30" i="22"/>
  <c r="F74" i="22"/>
  <c r="D93" i="22"/>
  <c r="E30" i="22"/>
  <c r="C93" i="22"/>
  <c r="D4" i="22"/>
  <c r="C95" i="22"/>
  <c r="C101" i="22"/>
  <c r="C30" i="22"/>
  <c r="D96" i="22"/>
  <c r="D102" i="22"/>
  <c r="AN25" i="24"/>
  <c r="AN36" i="24"/>
  <c r="AH37" i="24"/>
  <c r="AH26" i="24"/>
  <c r="AN34" i="24"/>
  <c r="AN23" i="24"/>
  <c r="AL26" i="24"/>
  <c r="AL37" i="24"/>
  <c r="AH25" i="24"/>
  <c r="AH36" i="24"/>
  <c r="AH38" i="24"/>
  <c r="AH27" i="24"/>
  <c r="AJ25" i="24"/>
  <c r="AJ36" i="24"/>
  <c r="AJ34" i="24"/>
  <c r="AJ23" i="24"/>
  <c r="AL25" i="24"/>
  <c r="AL36" i="24"/>
  <c r="H24" i="23"/>
  <c r="I24" i="23"/>
  <c r="F21" i="22"/>
  <c r="D21" i="22"/>
  <c r="D13" i="22"/>
  <c r="D16" i="22"/>
  <c r="L114" i="2"/>
  <c r="L108" i="2"/>
  <c r="L109" i="2"/>
  <c r="E33" i="22"/>
  <c r="F13" i="22"/>
  <c r="F16" i="22"/>
  <c r="N30" i="22"/>
  <c r="Z24" i="24"/>
  <c r="Z20" i="24"/>
  <c r="AA20" i="24"/>
  <c r="Z28" i="24"/>
  <c r="V32" i="24"/>
  <c r="J108" i="2"/>
  <c r="N25" i="22"/>
  <c r="E36" i="22"/>
  <c r="C8" i="24"/>
  <c r="C11" i="24"/>
  <c r="AG276" i="16"/>
  <c r="AH276" i="16"/>
  <c r="AJ276" i="16"/>
  <c r="AI276" i="16"/>
  <c r="AA170" i="16"/>
  <c r="Y170" i="16"/>
  <c r="AB170" i="16"/>
  <c r="Z170" i="16"/>
  <c r="AC170" i="16"/>
  <c r="AJ41" i="16"/>
  <c r="AI41" i="16"/>
  <c r="AH41" i="16"/>
  <c r="AG41" i="16"/>
  <c r="AB112" i="16"/>
  <c r="Z112" i="16"/>
  <c r="AC112" i="16"/>
  <c r="AA112" i="16"/>
  <c r="Y112" i="16"/>
  <c r="AG94" i="16"/>
  <c r="AH94" i="16"/>
  <c r="AJ94" i="16"/>
  <c r="AI94" i="16"/>
  <c r="Z241" i="16"/>
  <c r="AB241" i="16"/>
  <c r="AA241" i="16"/>
  <c r="AC241" i="16"/>
  <c r="Y241" i="16"/>
  <c r="AH210" i="16"/>
  <c r="AG210" i="16"/>
  <c r="AJ210" i="16"/>
  <c r="AI210" i="16"/>
  <c r="J170" i="16"/>
  <c r="L170" i="16"/>
  <c r="L276" i="16"/>
  <c r="J11" i="16"/>
  <c r="J280" i="16"/>
  <c r="L11" i="16"/>
  <c r="L280" i="16"/>
  <c r="J112" i="16"/>
  <c r="L112" i="16"/>
  <c r="J94" i="16"/>
  <c r="L41" i="16"/>
  <c r="L281" i="16"/>
  <c r="J41" i="16"/>
  <c r="J281" i="16"/>
  <c r="L241" i="16"/>
  <c r="J241" i="16"/>
  <c r="J210" i="16"/>
  <c r="L210" i="16"/>
  <c r="L94" i="16"/>
  <c r="A216" i="16"/>
  <c r="A142" i="16"/>
  <c r="A3" i="16"/>
  <c r="A72" i="16"/>
  <c r="A17" i="16"/>
  <c r="A177" i="16"/>
  <c r="K247" i="16"/>
  <c r="N32" i="24"/>
  <c r="M32" i="24"/>
  <c r="M9" i="24"/>
  <c r="E8" i="24"/>
  <c r="E11" i="24"/>
  <c r="O9" i="24"/>
  <c r="A248" i="16"/>
  <c r="I247" i="16"/>
  <c r="C142" i="2"/>
  <c r="C141" i="2"/>
  <c r="D142" i="2"/>
  <c r="C33" i="22"/>
  <c r="C36" i="22"/>
  <c r="H28" i="2"/>
  <c r="C81" i="22"/>
  <c r="N28" i="22"/>
  <c r="L3" i="22"/>
  <c r="C116" i="22"/>
  <c r="C130" i="22"/>
  <c r="D130" i="22"/>
  <c r="C129" i="22"/>
  <c r="D129" i="22"/>
  <c r="C121" i="22"/>
  <c r="L8" i="22"/>
  <c r="C43" i="22"/>
  <c r="L5" i="22"/>
  <c r="C100" i="22"/>
  <c r="C103" i="22"/>
  <c r="C47" i="22"/>
  <c r="L4" i="22"/>
  <c r="N13" i="22"/>
  <c r="N27" i="22"/>
  <c r="N8" i="22"/>
  <c r="N5" i="22"/>
  <c r="D97" i="22"/>
  <c r="L28" i="22"/>
  <c r="N4" i="22"/>
  <c r="C97" i="22"/>
  <c r="N7" i="22"/>
  <c r="D100" i="22"/>
  <c r="D103" i="22"/>
  <c r="H67" i="2"/>
  <c r="AL34" i="24"/>
  <c r="AL23" i="24"/>
  <c r="H18" i="23"/>
  <c r="I18" i="23"/>
  <c r="E47" i="22"/>
  <c r="C40" i="22"/>
  <c r="E46" i="22"/>
  <c r="E44" i="22"/>
  <c r="E6" i="22"/>
  <c r="E10" i="22"/>
  <c r="E7" i="22"/>
  <c r="E11" i="22"/>
  <c r="E12" i="22"/>
  <c r="E8" i="22"/>
  <c r="E3" i="22"/>
  <c r="E5" i="22"/>
  <c r="E9" i="22"/>
  <c r="E4" i="22"/>
  <c r="N7" i="24"/>
  <c r="E14" i="22"/>
  <c r="F35" i="22"/>
  <c r="D35" i="22"/>
  <c r="D31" i="22"/>
  <c r="J109" i="2"/>
  <c r="H109" i="2"/>
  <c r="H108" i="2"/>
  <c r="H12" i="23"/>
  <c r="I12" i="23"/>
  <c r="Y32" i="24"/>
  <c r="AA24" i="24"/>
  <c r="Z32" i="24"/>
  <c r="F34" i="22"/>
  <c r="D34" i="22"/>
  <c r="X241" i="16"/>
  <c r="AF94" i="16"/>
  <c r="X170" i="16"/>
  <c r="AF210" i="16"/>
  <c r="X112" i="16"/>
  <c r="AF276" i="16"/>
  <c r="AF41" i="16"/>
  <c r="F4" i="24"/>
  <c r="D4" i="24"/>
  <c r="D6" i="24"/>
  <c r="N6" i="24"/>
  <c r="N5" i="24"/>
  <c r="D5" i="24"/>
  <c r="N4" i="24"/>
  <c r="N8" i="24"/>
  <c r="F7" i="24"/>
  <c r="F5" i="24"/>
  <c r="F6" i="24"/>
  <c r="D7" i="24"/>
  <c r="E15" i="22"/>
  <c r="C44" i="22"/>
  <c r="D25" i="22"/>
  <c r="C41" i="22"/>
  <c r="D115" i="22"/>
  <c r="C115" i="22"/>
  <c r="D116" i="22"/>
  <c r="C128" i="22"/>
  <c r="C131" i="22"/>
  <c r="C125" i="22"/>
  <c r="E45" i="22"/>
  <c r="C45" i="22"/>
  <c r="C46" i="22"/>
  <c r="I16" i="22"/>
  <c r="E43" i="22"/>
  <c r="E40" i="22"/>
  <c r="E41" i="22"/>
  <c r="N31" i="22"/>
  <c r="F33" i="22"/>
  <c r="L9" i="22"/>
  <c r="M11" i="22"/>
  <c r="L31" i="22"/>
  <c r="L34" i="22"/>
  <c r="M28" i="22"/>
  <c r="E13" i="22"/>
  <c r="D18" i="22"/>
  <c r="I31" i="23"/>
  <c r="N34" i="22"/>
  <c r="O31" i="22"/>
  <c r="M31" i="22"/>
  <c r="M26" i="22"/>
  <c r="M25" i="22"/>
  <c r="M30" i="22"/>
  <c r="M27" i="22"/>
  <c r="M29" i="22"/>
  <c r="M33" i="22"/>
  <c r="I17" i="22"/>
  <c r="G14" i="22"/>
  <c r="F18" i="22"/>
  <c r="H31" i="23"/>
  <c r="AA28" i="24"/>
  <c r="AA32" i="24"/>
  <c r="M32" i="22"/>
  <c r="D8" i="24"/>
  <c r="F8" i="24"/>
  <c r="P5" i="24"/>
  <c r="P4" i="24"/>
  <c r="P7" i="24"/>
  <c r="P8" i="24"/>
  <c r="P6" i="24"/>
  <c r="N9" i="24"/>
  <c r="E21" i="22"/>
  <c r="E16" i="22"/>
  <c r="D28" i="22"/>
  <c r="D33" i="22"/>
  <c r="D36" i="22"/>
  <c r="D107" i="22"/>
  <c r="D114" i="22"/>
  <c r="D117" i="22"/>
  <c r="D29" i="22"/>
  <c r="D26" i="22"/>
  <c r="D30" i="22"/>
  <c r="D32" i="22"/>
  <c r="D27" i="22"/>
  <c r="D125" i="22"/>
  <c r="D128" i="22"/>
  <c r="D131" i="22"/>
  <c r="F36" i="22"/>
  <c r="C48" i="22"/>
  <c r="G7" i="22"/>
  <c r="G9" i="22"/>
  <c r="G11" i="22"/>
  <c r="G12" i="22"/>
  <c r="G3" i="22"/>
  <c r="G10" i="22"/>
  <c r="G15" i="22"/>
  <c r="G4" i="22"/>
  <c r="G8" i="22"/>
  <c r="G6" i="22"/>
  <c r="G5" i="22"/>
  <c r="E48" i="22"/>
  <c r="F26" i="22"/>
  <c r="F29" i="22"/>
  <c r="F32" i="22"/>
  <c r="F28" i="22"/>
  <c r="F25" i="22"/>
  <c r="F27" i="22"/>
  <c r="F31" i="22"/>
  <c r="F30" i="22"/>
  <c r="G13" i="22"/>
  <c r="L14" i="22"/>
  <c r="M3" i="22"/>
  <c r="M5" i="22"/>
  <c r="M8" i="22"/>
  <c r="D43" i="22"/>
  <c r="M4" i="22"/>
  <c r="M7" i="22"/>
  <c r="M6" i="22"/>
  <c r="D42" i="22"/>
  <c r="M9" i="22"/>
  <c r="M12" i="22"/>
  <c r="M34" i="22"/>
  <c r="O33" i="22"/>
  <c r="O29" i="22"/>
  <c r="O26" i="22"/>
  <c r="O32" i="22"/>
  <c r="O25" i="22"/>
  <c r="O28" i="22"/>
  <c r="O30" i="22"/>
  <c r="F47" i="22"/>
  <c r="O27" i="22"/>
  <c r="F45" i="22"/>
  <c r="P9" i="24"/>
  <c r="G21" i="22"/>
  <c r="C111" i="22"/>
  <c r="C114" i="22"/>
  <c r="C117" i="22"/>
  <c r="D111" i="22"/>
  <c r="N14" i="22"/>
  <c r="O6" i="22"/>
  <c r="F42" i="22"/>
  <c r="O4" i="22"/>
  <c r="O3" i="22"/>
  <c r="O8" i="22"/>
  <c r="F43" i="22"/>
  <c r="O12" i="22"/>
  <c r="O7" i="22"/>
  <c r="O5" i="22"/>
  <c r="G16" i="22"/>
  <c r="D40" i="22"/>
  <c r="D47" i="22"/>
  <c r="D45" i="22"/>
  <c r="D41" i="22"/>
  <c r="O34" i="22"/>
  <c r="D46" i="22"/>
  <c r="F46" i="22"/>
  <c r="F40" i="22"/>
  <c r="F44" i="22"/>
  <c r="D44" i="22"/>
  <c r="F41" i="22"/>
  <c r="D48" i="22"/>
  <c r="F48" i="22"/>
  <c r="O11" i="24"/>
  <c r="H7" i="2"/>
  <c r="G73" i="22"/>
  <c r="G75" i="22"/>
  <c r="L115" i="2"/>
  <c r="M11" i="24"/>
  <c r="F73" i="22"/>
  <c r="F75" i="22"/>
  <c r="H17" i="24"/>
  <c r="E3" i="23"/>
  <c r="E23" i="24"/>
  <c r="B21" i="23"/>
  <c r="C17" i="24"/>
  <c r="I15" i="24"/>
  <c r="G21" i="24"/>
  <c r="D15" i="23"/>
  <c r="D24" i="24"/>
  <c r="I21" i="23"/>
  <c r="I17" i="24"/>
  <c r="D20" i="24"/>
  <c r="I9" i="23"/>
  <c r="J23" i="24"/>
  <c r="G19" i="24"/>
  <c r="D9" i="23"/>
  <c r="H23" i="24"/>
  <c r="E21" i="23"/>
  <c r="D22" i="24"/>
  <c r="I15" i="23"/>
  <c r="D15" i="24"/>
  <c r="E17" i="24"/>
  <c r="B3" i="23"/>
  <c r="G17" i="24"/>
  <c r="D3" i="23"/>
  <c r="E19" i="24"/>
  <c r="B9" i="23"/>
  <c r="I23" i="24"/>
  <c r="F21" i="23"/>
  <c r="J21" i="24"/>
  <c r="H19" i="24"/>
  <c r="E9" i="23"/>
  <c r="F21" i="24"/>
  <c r="C15" i="23"/>
  <c r="J17" i="24"/>
  <c r="G23" i="24"/>
  <c r="D21" i="23"/>
  <c r="F17" i="24"/>
  <c r="C3" i="23"/>
  <c r="I19" i="24"/>
  <c r="E21" i="24"/>
  <c r="B15" i="23"/>
  <c r="C18" i="24"/>
  <c r="D17" i="24"/>
  <c r="H15" i="24"/>
  <c r="F15" i="24"/>
  <c r="F23" i="24"/>
  <c r="C21" i="23"/>
  <c r="H21" i="24"/>
  <c r="E15" i="23"/>
  <c r="J19" i="24"/>
  <c r="I21" i="24"/>
  <c r="D18" i="24"/>
  <c r="I3" i="23"/>
  <c r="J15" i="24"/>
  <c r="C15" i="24"/>
  <c r="F19" i="24"/>
  <c r="C9" i="23"/>
  <c r="E15" i="24"/>
  <c r="I16" i="24"/>
  <c r="E18" i="24"/>
  <c r="I24" i="24"/>
  <c r="F16" i="24"/>
  <c r="F22" i="24"/>
  <c r="E22" i="24"/>
  <c r="D21" i="24"/>
  <c r="H20" i="24"/>
  <c r="J24" i="24"/>
  <c r="C20" i="24"/>
  <c r="F24" i="24"/>
  <c r="C21" i="24"/>
  <c r="D19" i="24"/>
  <c r="C19" i="24"/>
  <c r="J18" i="24"/>
  <c r="I20" i="24"/>
  <c r="E16" i="24"/>
  <c r="F18" i="24"/>
  <c r="E24" i="24"/>
  <c r="H18" i="24"/>
  <c r="I18" i="24"/>
  <c r="C16" i="24"/>
  <c r="C22" i="24"/>
  <c r="G18" i="24"/>
  <c r="J20" i="24"/>
  <c r="C23" i="24"/>
  <c r="D16" i="24"/>
  <c r="D23" i="24"/>
  <c r="E20" i="24"/>
  <c r="H16" i="24"/>
  <c r="J16" i="24"/>
  <c r="G16" i="24"/>
  <c r="C24" i="24"/>
  <c r="I22" i="24"/>
  <c r="G24" i="24"/>
  <c r="G20" i="24"/>
  <c r="H22" i="24"/>
  <c r="F20" i="24"/>
  <c r="J22" i="24"/>
  <c r="G22" i="24"/>
  <c r="H24" i="24"/>
  <c r="X35" i="2"/>
  <c r="A48" i="16" a="1"/>
  <c r="G15" i="24"/>
  <c r="AJ21" i="24"/>
  <c r="AJ32" i="24"/>
  <c r="AH32" i="24"/>
  <c r="AH21" i="24"/>
  <c r="AL32" i="24"/>
  <c r="AL21" i="24"/>
  <c r="F9" i="23"/>
  <c r="F3" i="23"/>
  <c r="F28" i="23"/>
  <c r="F15" i="23"/>
  <c r="D29" i="24"/>
  <c r="G3" i="23"/>
  <c r="G25" i="24"/>
  <c r="D28" i="24"/>
  <c r="D25" i="24"/>
  <c r="G21" i="23"/>
  <c r="C25" i="24"/>
  <c r="C29" i="24"/>
  <c r="D28" i="23"/>
  <c r="J25" i="24"/>
  <c r="F25" i="24"/>
  <c r="G15" i="23"/>
  <c r="I25" i="24"/>
  <c r="E25" i="24"/>
  <c r="G9" i="23"/>
  <c r="H25" i="24"/>
  <c r="C28" i="24"/>
  <c r="C28" i="23"/>
  <c r="I28" i="23"/>
  <c r="A48" i="16"/>
  <c r="AA64" i="16"/>
  <c r="J64" i="16"/>
  <c r="J282" i="16"/>
  <c r="J284" i="16"/>
  <c r="AB64" i="16"/>
  <c r="L64" i="16"/>
  <c r="L282" i="16"/>
  <c r="L284" i="16"/>
  <c r="N283" i="16"/>
  <c r="AC64" i="16"/>
  <c r="Z64" i="16"/>
  <c r="Y64" i="16"/>
  <c r="E28" i="23"/>
  <c r="B28" i="23"/>
  <c r="A119" i="16" a="1"/>
  <c r="G28" i="23"/>
  <c r="X64" i="16"/>
  <c r="L135" i="16"/>
  <c r="L283" i="16"/>
  <c r="L285" i="16"/>
  <c r="N284" i="16"/>
  <c r="AG135" i="16"/>
  <c r="J135" i="16"/>
  <c r="J283" i="16"/>
  <c r="J285" i="16"/>
  <c r="AH135" i="16"/>
  <c r="A119" i="16"/>
  <c r="AI135" i="16"/>
  <c r="AJ135" i="16"/>
  <c r="AF135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Papitashvili, Vladimir O.</author>
  </authors>
  <commentList>
    <comment ref="G7" authorId="0" shapeId="0" xr:uid="{E46FA1A7-718A-44F4-87C3-6E3DE4D64B29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28" authorId="0" shapeId="0" xr:uid="{5774A9BE-B9CD-406A-BEB6-AD476BAED285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33" authorId="0" shapeId="0" xr:uid="{AEE4E570-215C-3243-B320-744209C9A3DA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67" authorId="0" shapeId="0" xr:uid="{04DA31A0-1E48-42B6-8CA7-734EB06A9D25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77" authorId="0" shapeId="0" xr:uid="{6D5FD737-D9CF-4C93-9FBF-62E2E9CEDB2F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90" authorId="0" shapeId="0" xr:uid="{D8FDD69A-21E4-4D8B-911D-7BC7E0050813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98" authorId="0" shapeId="0" xr:uid="{6C304C2B-ABB1-4FAF-A415-84AE0617D4B1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  <comment ref="G108" authorId="0" shapeId="0" xr:uid="{00D15AF4-84A8-4A7D-BECD-F03909FEB785}">
      <text>
        <r>
          <rPr>
            <b/>
            <sz val="9"/>
            <color rgb="FF000000"/>
            <rFont val="Tahoma"/>
            <family val="2"/>
          </rPr>
          <t xml:space="preserve">TEO  - 2--ft Equvalent Unit
</t>
        </r>
        <r>
          <rPr>
            <b/>
            <sz val="9"/>
            <color rgb="FF000000"/>
            <rFont val="Tahoma"/>
            <family val="2"/>
          </rPr>
          <t xml:space="preserve">Exterior Dimensions (in feet): 20' long x 8' wide x 8' 6” high =1,360 cubic feet
</t>
        </r>
        <r>
          <rPr>
            <b/>
            <sz val="9"/>
            <color rgb="FF000000"/>
            <rFont val="Tahoma"/>
            <family val="2"/>
          </rPr>
          <t xml:space="preserve">
</t>
        </r>
        <r>
          <rPr>
            <b/>
            <sz val="9"/>
            <color rgb="FF000000"/>
            <rFont val="Tahoma"/>
            <family val="2"/>
          </rPr>
          <t>In this list, a cargo itme' cube takes about 70% of 1,360 cubin feet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<sst xmlns="http://schemas.openxmlformats.org/spreadsheetml/2006/main" count="2885" uniqueCount="663">
  <si>
    <t>Cargo Item  respective WBS Level</t>
  </si>
  <si>
    <t>Work Package</t>
  </si>
  <si>
    <t>Item Description</t>
  </si>
  <si>
    <t>Contents &amp; Comments</t>
  </si>
  <si>
    <t>Length (in)</t>
  </si>
  <si>
    <t>Width (in)</t>
  </si>
  <si>
    <t>Height (in)</t>
  </si>
  <si>
    <t>Quantity</t>
  </si>
  <si>
    <t>Unit Volume (cu ft)</t>
  </si>
  <si>
    <t>Total Volume
(cu ft) = quantity x unit volume</t>
  </si>
  <si>
    <t>Unit Weight (lbs)</t>
  </si>
  <si>
    <t>Total Weight (lbs) = quantity x unit weight</t>
  </si>
  <si>
    <t>Basis of Estimate</t>
  </si>
  <si>
    <t>Special Handling?</t>
  </si>
  <si>
    <t xml:space="preserve">Owner/Guardian institution </t>
  </si>
  <si>
    <t xml:space="preserve">SHIPMENT FLOAT: Time between completion and shipping to USAP site </t>
  </si>
  <si>
    <r>
      <t xml:space="preserve">Date of expected or </t>
    </r>
    <r>
      <rPr>
        <b/>
        <i/>
        <sz val="12"/>
        <color theme="1"/>
        <rFont val="Calibri"/>
        <family val="2"/>
        <scheme val="minor"/>
      </rPr>
      <t>actual</t>
    </r>
    <r>
      <rPr>
        <b/>
        <sz val="12"/>
        <color theme="1"/>
        <rFont val="Calibri"/>
        <family val="2"/>
        <scheme val="minor"/>
      </rPr>
      <t xml:space="preserve"> shipment </t>
    </r>
  </si>
  <si>
    <t>Expected Route:  Owner - PTH or CHC</t>
  </si>
  <si>
    <t>Recommended Transportation Option</t>
  </si>
  <si>
    <t>Expected Route: PTH - MCM or CHC</t>
  </si>
  <si>
    <t>Recommended Intercontinental Shipping Date (FY)</t>
  </si>
  <si>
    <t>Recommended Transportation Option to CHC/MCM [INPUT]</t>
  </si>
  <si>
    <t>Expected Route: CHC - MCM [CALCULATED]</t>
  </si>
  <si>
    <t>Vessel Container Allocation 40F</t>
  </si>
  <si>
    <t>Vessel Container Allocation 40D</t>
  </si>
  <si>
    <t>Vessel Container Allocation 20D</t>
  </si>
  <si>
    <t>Vessel Container Allocation 20F</t>
  </si>
  <si>
    <t>C-17/LC-130 
CHC --&gt; MCM
Pallet Allocation</t>
  </si>
  <si>
    <r>
      <t xml:space="preserve">Date Item expected or </t>
    </r>
    <r>
      <rPr>
        <b/>
        <i/>
        <sz val="12"/>
        <color theme="1"/>
        <rFont val="Calibri"/>
        <family val="2"/>
        <scheme val="minor"/>
      </rPr>
      <t>arrived</t>
    </r>
    <r>
      <rPr>
        <b/>
        <sz val="12"/>
        <color theme="1"/>
        <rFont val="Calibri"/>
        <family val="2"/>
        <scheme val="minor"/>
      </rPr>
      <t xml:space="preserve"> to MCM</t>
    </r>
  </si>
  <si>
    <t>Recommended Intracontinental  Date (FY)
[CALCULATED]</t>
  </si>
  <si>
    <t>Recommended
Intracontinental Mode 
MCM--&gt; NPX [CALCULATED]</t>
  </si>
  <si>
    <t>SPOT Sled Allocation - Swing 1 (11/27)</t>
  </si>
  <si>
    <t>SPOT Sled Allocation - Swing 2 (12/25)</t>
  </si>
  <si>
    <t>SPOT Sled Allocation - Swing 3 (2/5)</t>
  </si>
  <si>
    <t>LC-130 
MCM --&gt; NPX
Pallet Allocation</t>
  </si>
  <si>
    <t>Suggested arrival date at South Pole [INPUT]</t>
  </si>
  <si>
    <t>Latest possible arrival date at South Pole 
[from schedule]</t>
  </si>
  <si>
    <t>FLOAT AT NPX (delivery to required) [days]</t>
  </si>
  <si>
    <t>Critical Path</t>
  </si>
  <si>
    <t>Validator 1
(SME)</t>
  </si>
  <si>
    <t>Validation Date</t>
  </si>
  <si>
    <t>Validator 2
(Logistics)</t>
  </si>
  <si>
    <t>Validation Date2</t>
  </si>
  <si>
    <t>Notes</t>
  </si>
  <si>
    <t>Cargo staged in Port Hueneme</t>
  </si>
  <si>
    <t>-</t>
  </si>
  <si>
    <t>Pt. Hueneme totals:</t>
  </si>
  <si>
    <t>TEU=&gt;</t>
  </si>
  <si>
    <t>Cargo staged in McMurdo</t>
  </si>
  <si>
    <t>Drill</t>
  </si>
  <si>
    <t>Gen 1 - housed in 20' container</t>
  </si>
  <si>
    <t>Power generation unit 1 housed in 20' shipping container</t>
  </si>
  <si>
    <t>actual</t>
  </si>
  <si>
    <t xml:space="preserve"> U. Wisc. Madison</t>
  </si>
  <si>
    <t>In McMurdo</t>
  </si>
  <si>
    <t>in McMurdo</t>
  </si>
  <si>
    <t>Yes</t>
  </si>
  <si>
    <t>D. Gibson</t>
  </si>
  <si>
    <t>I. McEwen</t>
  </si>
  <si>
    <t>Will require crane for onload/offload  - use belly band to support container sidewalls during lift.</t>
  </si>
  <si>
    <t>Gen 2 - housed in 20' container</t>
  </si>
  <si>
    <t>Power generation unit 2 housed in 20' shipping container</t>
  </si>
  <si>
    <t>FY23 Vessel</t>
  </si>
  <si>
    <t>D.Tosi</t>
  </si>
  <si>
    <t xml:space="preserve">Gens 2 Going back to CHC for repairs </t>
  </si>
  <si>
    <t>Gen 3 - housed in 20' container</t>
  </si>
  <si>
    <t>Power generation unit 3 housed in 20' shipping container</t>
  </si>
  <si>
    <r>
      <rPr>
        <sz val="12"/>
        <color rgb="FFFF0000"/>
        <rFont val="Calibri"/>
        <family val="2"/>
        <scheme val="minor"/>
      </rPr>
      <t>Gens 2 &amp; 3 need to be tranferred from ISO2 sleds that are limited to use on improved surfaces only</t>
    </r>
    <r>
      <rPr>
        <sz val="12"/>
        <rFont val="Calibri"/>
        <family val="2"/>
        <scheme val="minor"/>
      </rPr>
      <t>. Will require crane for onload/offload  - use belly band to support container sidewalls during lift.</t>
    </r>
  </si>
  <si>
    <t>Gen Discharge Hoods (bermed)</t>
  </si>
  <si>
    <t>Generator air discharge hoods , sheet metal, loose - stored on berm at SPOTSA</t>
  </si>
  <si>
    <t>No</t>
  </si>
  <si>
    <t>Testing/limited operation of Gens can be accomplished without hoods - Hoods required for the drill season</t>
  </si>
  <si>
    <t>Firn Drill</t>
  </si>
  <si>
    <t xml:space="preserve">Bermed in McM - will require McM fork or crane support. </t>
  </si>
  <si>
    <t>Bermed in McMurdo - SPOTSA</t>
  </si>
  <si>
    <t>Weight stack and crates</t>
  </si>
  <si>
    <t>Bermed in McM - will require McM fork support. Drill head weight stack and remaining bermed crates at SPoTSA</t>
  </si>
  <si>
    <t>Bermed in McMurdo - SPOTSA on UNL flatrack</t>
  </si>
  <si>
    <t>Fuel Tower</t>
  </si>
  <si>
    <t>Bermed in McMurdo - SPOTSA on UNL flatrack - overland shipment preferred due to complexities of air transport certification - can be laid on side once drained</t>
  </si>
  <si>
    <t>HPU 2</t>
  </si>
  <si>
    <t>HPU 2 (University of Nebraska - Lincoln asset) - 40' container housing heating plant on ISO sled</t>
  </si>
  <si>
    <t xml:space="preserve">HPU 1 integration with Rodwell system required before drill season on it's own sled which will require evaluation and repair - Stored at SPOTSA </t>
  </si>
  <si>
    <t>8' Refit Container</t>
  </si>
  <si>
    <t>Priority refit materials including tools, flowmeter assemblies, motor drive installation kits, hardware, fittings, sensors, &amp; consumables</t>
  </si>
  <si>
    <t xml:space="preserve"> Truck</t>
  </si>
  <si>
    <t xml:space="preserve">8' container moves with contents by LC130 or is broken down for movement by Basler. Packing in progress. </t>
  </si>
  <si>
    <t>20' Refit Container A</t>
  </si>
  <si>
    <t>Refit materials incl. submersible pumps, hardware, filtration components, fall arrest towers, tools, hose crimper and camp hose (2 spools 348 cf/4990 lbs each)</t>
  </si>
  <si>
    <t xml:space="preserve">For air shipment container contents will need to be unloaded and palletized. Container procurement delayed by shortage. Packing in progress. </t>
  </si>
  <si>
    <t>20' Refit Container B</t>
  </si>
  <si>
    <t>Bulky materials incl. cable trays, vertical turbine pumps, vertical turbine pump motors, ladders, water tank doghouse/railing materials, 287 forks, generator parts, TU20 shaft, &amp; drill weight stack</t>
  </si>
  <si>
    <t>Truck</t>
  </si>
  <si>
    <t>For air shipment container contents will need to be unloaded and palletized</t>
  </si>
  <si>
    <t>ARA Trailer</t>
  </si>
  <si>
    <t>Enclosed trailer on skis housing 35kw generator</t>
  </si>
  <si>
    <t>FLAMMABLE liquid power engine</t>
  </si>
  <si>
    <t>Yes*</t>
  </si>
  <si>
    <t>*If this shipment is delayed 480 volt power generation support will be required in FW YR 1 by the contractor. Aside from the CRREL generator (far larger than required with high fuel burn rate) the capacity does not currently exist at the Pole.</t>
  </si>
  <si>
    <t>Return Water Cable Reel (RWCR)</t>
  </si>
  <si>
    <t>Smaller reel - can fit in 20' container. Required onsite in FY23 for final integration and pre-drill activites</t>
  </si>
  <si>
    <t>Weight from Gen 1 shipment information see picture.</t>
  </si>
  <si>
    <t>Main Cable Reel  (MCR)</t>
  </si>
  <si>
    <t xml:space="preserve">Required onsite in FY23 for final integration and pre-drill activites. Large cable reel - will require flat rack on vessel             </t>
  </si>
  <si>
    <t xml:space="preserve">Required onsite in FS Y1 for final integration and pre-drill activities. Shrink wrap contractor rescheduled for later date. </t>
  </si>
  <si>
    <t xml:space="preserve">Container Ski Stack (comprised of 5 sleds) </t>
  </si>
  <si>
    <t>Five sets of aluminum skis for 20' containers - stacked. Aluminum skis for drill containers. Required onsite for local movement of Gens and PDM.</t>
  </si>
  <si>
    <t>No*</t>
  </si>
  <si>
    <t>*While this shipment is not on the critical path additional ASC crane support will be required to overcome delayed arrival or sleds furnished from the South Pole inventory</t>
  </si>
  <si>
    <t xml:space="preserve">Generator Intake Hood </t>
  </si>
  <si>
    <t>Light weight large volume sheet metal stacks for generator ventilation</t>
  </si>
  <si>
    <t xml:space="preserve">Generator Discharge Hoods </t>
  </si>
  <si>
    <t>Drill Hose</t>
  </si>
  <si>
    <r>
      <t xml:space="preserve">Drill hose - 9 Spools - 348 cf / 3532 lbs each - Shipped from Italy - </t>
    </r>
    <r>
      <rPr>
        <sz val="12"/>
        <color rgb="FFFF0000"/>
        <rFont val="Calibri (Body)"/>
      </rPr>
      <t>Do Not Deep Freeze</t>
    </r>
  </si>
  <si>
    <t>DNDF [-53C]</t>
  </si>
  <si>
    <t>Hose to be installed on Main Supply Hose Reel upon arrival at Pole</t>
  </si>
  <si>
    <r>
      <t xml:space="preserve">Drill hose - 3 Spools - 348 cf / 5001 lbs each - Shipped from PSL - </t>
    </r>
    <r>
      <rPr>
        <sz val="12"/>
        <color rgb="FFFF0000"/>
        <rFont val="Calibri (Body)"/>
      </rPr>
      <t>Do Not Deep Freeze</t>
    </r>
  </si>
  <si>
    <t>McMurdo totals:</t>
  </si>
  <si>
    <t>Cargo staged at South Pole</t>
  </si>
  <si>
    <t>287 Loader</t>
  </si>
  <si>
    <t>Required onsite early in FY23 for refit/pre-drill activity support unless ASC can supply dedicated loader for Upgrade use</t>
  </si>
  <si>
    <t>At South Pole</t>
  </si>
  <si>
    <t>at South Pole</t>
  </si>
  <si>
    <r>
      <t xml:space="preserve">*Required onsite early in FY23 for refit/pre-drill activity support </t>
    </r>
    <r>
      <rPr>
        <i/>
        <sz val="12"/>
        <rFont val="Calibri"/>
        <family val="2"/>
        <scheme val="minor"/>
      </rPr>
      <t>unless ASC can supply dedicated loader for Upgrade use</t>
    </r>
  </si>
  <si>
    <t>Firn Drill Components - 1</t>
  </si>
  <si>
    <t xml:space="preserve">Firn drill sheave. Required Field Season 2 for final refit &amp; functional testing </t>
  </si>
  <si>
    <t>Firn Drill Components - 2</t>
  </si>
  <si>
    <t xml:space="preserve">Firn drill drillhead. Required Field Season 2 for final refit &amp; functional testing </t>
  </si>
  <si>
    <t>South Pole totals:</t>
  </si>
  <si>
    <t>Cargo departing UW/PSL</t>
  </si>
  <si>
    <r>
      <t xml:space="preserve">ARA (Antarctic Rodwell Appartus) - downhole pump controller, ePump controller, splash cam kit, and accessories - </t>
    </r>
    <r>
      <rPr>
        <sz val="12"/>
        <color rgb="FFFF0000"/>
        <rFont val="Calibri"/>
        <family val="2"/>
        <scheme val="minor"/>
      </rPr>
      <t>Do Not Freeze</t>
    </r>
  </si>
  <si>
    <t>estimated</t>
  </si>
  <si>
    <t>DNF</t>
  </si>
  <si>
    <t>UWM - PTH</t>
  </si>
  <si>
    <t>PTH - MCM</t>
  </si>
  <si>
    <t>Computing/controls components Shipment #1</t>
  </si>
  <si>
    <r>
      <t xml:space="preserve">Components and equipment to support field season 1 controls system tasking). Controls infrastructure - Motor drives, PLCs, electrical hardware, and motor drive mounting kits) - </t>
    </r>
    <r>
      <rPr>
        <sz val="12"/>
        <color rgb="FFFF0000"/>
        <rFont val="Calibri"/>
        <family val="2"/>
        <scheme val="minor"/>
      </rPr>
      <t>Do Not Freeze</t>
    </r>
  </si>
  <si>
    <t>PTH - CHC</t>
  </si>
  <si>
    <t>Weight estimated</t>
  </si>
  <si>
    <t>Computing/controls components Shipment #2</t>
  </si>
  <si>
    <r>
      <t xml:space="preserve">Computing and controls equipment (Motor drives and other sensitive electronics) - </t>
    </r>
    <r>
      <rPr>
        <sz val="12"/>
        <color rgb="FFFF0000"/>
        <rFont val="Calibri"/>
        <family val="2"/>
        <scheme val="minor"/>
      </rPr>
      <t>Do Not Freeze</t>
    </r>
  </si>
  <si>
    <t>FY24 ComSur</t>
  </si>
  <si>
    <t>Required onsite in FW YR 2 to support controls system tasking</t>
  </si>
  <si>
    <t>Computing/controls components Shipment #3</t>
  </si>
  <si>
    <r>
      <t xml:space="preserve">Computing and controls equipment (Sensor, motor drives and other sensitive electronics) - </t>
    </r>
    <r>
      <rPr>
        <sz val="12"/>
        <color rgb="FFFF0000"/>
        <rFont val="Calibri"/>
        <family val="2"/>
        <scheme val="minor"/>
      </rPr>
      <t>Do Not Freeze</t>
    </r>
  </si>
  <si>
    <t>FY25 ComSur</t>
  </si>
  <si>
    <t>20' Refit Container C: Bull Wheel, Spare Combo &amp; Drill Cables, Hose Heating System Components, ARA Drill System Components Crate #2</t>
  </si>
  <si>
    <t>Bull wheel assembly - used to install main cable on reel in event of main cable damage/failure; Spare cable for Return Water Cable Reel - on spool; ARA new downhole pumps, spares, accessories and tools</t>
  </si>
  <si>
    <t>D. Tosi</t>
  </si>
  <si>
    <t>Consolidation: 20 ft container with Bull Wheel, Spare Combo &amp; Drill Cables, Hose Heating System Components, ARA Drill System Components Crate #2</t>
  </si>
  <si>
    <t>Driller resupply/refit components -  8'  Container FS2</t>
  </si>
  <si>
    <t>8' Mini Milvan; Consumables/drill components</t>
  </si>
  <si>
    <t>Items identifed in prior field season - 8' container moves with contents overland or by air</t>
  </si>
  <si>
    <t>Drill refit components FS2</t>
  </si>
  <si>
    <r>
      <t xml:space="preserve">Single crate. Consumables/drill refit components - </t>
    </r>
    <r>
      <rPr>
        <sz val="12"/>
        <color rgb="FFFF0000"/>
        <rFont val="Calibri (Body)"/>
      </rPr>
      <t>Do Not Freeze</t>
    </r>
  </si>
  <si>
    <t>FY25 Comsur</t>
  </si>
  <si>
    <t>Items identifed in prior field season</t>
  </si>
  <si>
    <t>Driller resupply/refit components -  8'  Container FS3</t>
  </si>
  <si>
    <t>FY26 ComSur</t>
  </si>
  <si>
    <t>Drill refit components FS3</t>
  </si>
  <si>
    <t>FY26 Comsur</t>
  </si>
  <si>
    <t>Drill Heads - X</t>
  </si>
  <si>
    <r>
      <rPr>
        <sz val="12"/>
        <rFont val="Calibri"/>
        <family val="2"/>
        <scheme val="minor"/>
      </rPr>
      <t>Drill Heads for winterover storage - ICL  -</t>
    </r>
    <r>
      <rPr>
        <sz val="12"/>
        <color rgb="FFFF0000"/>
        <rFont val="Calibri"/>
        <family val="2"/>
        <scheme val="minor"/>
      </rPr>
      <t xml:space="preserve"> Do Not Freeze</t>
    </r>
  </si>
  <si>
    <t>One drill head shipped one year early for ull system wet-test</t>
  </si>
  <si>
    <t>Drill Heads - Y</t>
  </si>
  <si>
    <t>Drill Heads - R</t>
  </si>
  <si>
    <r>
      <rPr>
        <sz val="12"/>
        <rFont val="Calibri"/>
        <family val="2"/>
        <scheme val="minor"/>
      </rPr>
      <t>Drill Heads for winterover storage - ICL  -</t>
    </r>
    <r>
      <rPr>
        <sz val="12"/>
        <color rgb="FFFF0000"/>
        <rFont val="Calibri"/>
        <family val="2"/>
        <scheme val="minor"/>
      </rPr>
      <t xml:space="preserve"> Do Not Freeze </t>
    </r>
  </si>
  <si>
    <t>Cable Reel used to deploy downhole load member during string installation</t>
  </si>
  <si>
    <t>FY24 Vessel</t>
  </si>
  <si>
    <t>Required onsite in FW YR 2 for integration - recent addition, still in development</t>
  </si>
  <si>
    <t>Logistics</t>
  </si>
  <si>
    <t>Accelerometer Loggers  SPoT 1</t>
  </si>
  <si>
    <t xml:space="preserve">1x1x1 box </t>
  </si>
  <si>
    <t>FY23 inter</t>
  </si>
  <si>
    <t>FY23 ComSur</t>
  </si>
  <si>
    <t>FY23 intra</t>
  </si>
  <si>
    <t>Accelerometer Loggers  SPoT 2</t>
  </si>
  <si>
    <t>Installation</t>
  </si>
  <si>
    <t>ICL power and timing electronics</t>
  </si>
  <si>
    <r>
      <t xml:space="preserve">1 crate containing rackmount electronics for power and timing systems - </t>
    </r>
    <r>
      <rPr>
        <sz val="12"/>
        <color rgb="FFFF0000"/>
        <rFont val="Calibri"/>
        <family val="2"/>
        <scheme val="minor"/>
      </rPr>
      <t>Do Not Freeze</t>
    </r>
  </si>
  <si>
    <t>J. Kelley</t>
  </si>
  <si>
    <t>ICL patch cables and patch panels</t>
  </si>
  <si>
    <t>Standard vessel shipping - can overwinter in McM if shipped earlier - Do Not  Deep Freeze</t>
  </si>
  <si>
    <t>DNDF [TBD]</t>
  </si>
  <si>
    <t xml:space="preserve">(*) storage in McMurdo pending low temperature test </t>
  </si>
  <si>
    <t>DOM Handling Facility (DHF)</t>
  </si>
  <si>
    <t>Standard vessel shipping - can overwinter in McM.</t>
  </si>
  <si>
    <t>Sensor Handling Facility construction scheduled to begin mid-December FY24</t>
  </si>
  <si>
    <t xml:space="preserve">Installation Hardware  87-93 </t>
  </si>
  <si>
    <t>Installation hardware</t>
  </si>
  <si>
    <t xml:space="preserve">Installation Weights  87-93 </t>
  </si>
  <si>
    <t>Installation weights</t>
  </si>
  <si>
    <t>Misc. Science Equipment - FS2 (FY25)</t>
  </si>
  <si>
    <r>
      <t xml:space="preserve">Scientific and test equipment (SPAT, DCM, IME, Paros et al.) - </t>
    </r>
    <r>
      <rPr>
        <sz val="12"/>
        <color rgb="FFFF0000"/>
        <rFont val="Calibri"/>
        <family val="2"/>
        <scheme val="minor"/>
      </rPr>
      <t>Do Not Freeze</t>
    </r>
    <r>
      <rPr>
        <sz val="12"/>
        <rFont val="Calibri"/>
        <family val="2"/>
        <scheme val="minor"/>
      </rPr>
      <t xml:space="preserve"> </t>
    </r>
  </si>
  <si>
    <t>T. Karg</t>
  </si>
  <si>
    <t>Misc. Science Equipment - FS3 (FY26)</t>
  </si>
  <si>
    <t>Calibration/Special Devices 87-88</t>
  </si>
  <si>
    <r>
      <t xml:space="preserve">3+1 PencilBeams from UW, 2+1 pDOM and 1+1 LOMs - </t>
    </r>
    <r>
      <rPr>
        <sz val="12"/>
        <color rgb="FFFF0000"/>
        <rFont val="Calibri"/>
        <family val="2"/>
        <scheme val="minor"/>
      </rPr>
      <t>Do Not Deep Freeze</t>
    </r>
  </si>
  <si>
    <t>DNDF [-40C]</t>
  </si>
  <si>
    <t>D. Williams</t>
  </si>
  <si>
    <t>Special Devices 87-88</t>
  </si>
  <si>
    <r>
      <t xml:space="preserve">Special devices for 2 strings from UW (4+1 Radio Pulsers (all strings) 1+1 Radio Receivers, 3+1 FOM)  - </t>
    </r>
    <r>
      <rPr>
        <sz val="12"/>
        <color rgb="FFFF0000"/>
        <rFont val="Calibri"/>
        <family val="2"/>
        <scheme val="minor"/>
      </rPr>
      <t>Do Not Deep Freeze</t>
    </r>
  </si>
  <si>
    <t>preliminary</t>
  </si>
  <si>
    <t>UWM/Kansas</t>
  </si>
  <si>
    <t>S. Boeser</t>
  </si>
  <si>
    <t>4+1 Radio Pulser, weight  50 kg. 1+1 Radio receiver, assume mDOM weight, 3+1 FOM (assume mDOM weight) + 2ftx2ftx4ft FOM box (50 lbs).  Special Devices from UW. FTS, seismometer missing from estimate.  250 lbs crate estimate</t>
  </si>
  <si>
    <t>Special Devices 89-93</t>
  </si>
  <si>
    <r>
      <t xml:space="preserve">Special devices for 5 remaining strings from UW (4+1 FOM,2+1 Radio Receivers, 11+1 LOM + seismometer*) - </t>
    </r>
    <r>
      <rPr>
        <sz val="12"/>
        <color rgb="FFFF0000"/>
        <rFont val="Calibri"/>
        <family val="2"/>
        <scheme val="minor"/>
      </rPr>
      <t>Do Not Deep Freeze</t>
    </r>
  </si>
  <si>
    <t xml:space="preserve">21 Special Devices from USA (11+ 1 LOM, 4+1 FOM, 2+1 RR, FTS ? , seismometer), assume mDOM weight. 200 lbs wood crate. FTS not included. (*) Seismometer not yet in CMD </t>
  </si>
  <si>
    <t>Calibration/Special Devices  89-93</t>
  </si>
  <si>
    <r>
      <t xml:space="preserve">8+1 PencilBeams, 12+1 pDOMs from UW - </t>
    </r>
    <r>
      <rPr>
        <sz val="12"/>
        <color rgb="FFFF0000"/>
        <rFont val="Calibri"/>
        <family val="2"/>
        <scheme val="minor"/>
      </rPr>
      <t>Do Not Deep Freeze</t>
    </r>
  </si>
  <si>
    <t xml:space="preserve">8+1 PencilBeams for strings 89-93, 12+1 pDOMs, assume mDOM weight. 244 lbs crate. </t>
  </si>
  <si>
    <t>Dust logging device</t>
  </si>
  <si>
    <r>
      <t xml:space="preserve">Blue Logging device - sensitive equipment - </t>
    </r>
    <r>
      <rPr>
        <sz val="12"/>
        <color rgb="FFFF0000"/>
        <rFont val="Calibri"/>
        <family val="2"/>
        <scheme val="minor"/>
      </rPr>
      <t>Do Not Freeze</t>
    </r>
  </si>
  <si>
    <t>Used weights from last deployment season shipment data (could be combined)</t>
  </si>
  <si>
    <r>
      <t xml:space="preserve">Green Logging device - sensitive equipment - </t>
    </r>
    <r>
      <rPr>
        <sz val="12"/>
        <color rgb="FFFF0000"/>
        <rFont val="Calibri"/>
        <family val="2"/>
        <scheme val="minor"/>
      </rPr>
      <t>Do Not Freeze</t>
    </r>
  </si>
  <si>
    <r>
      <t xml:space="preserve">Electronics parts - sensitive equipment - </t>
    </r>
    <r>
      <rPr>
        <sz val="12"/>
        <color rgb="FFFF0000"/>
        <rFont val="Calibri"/>
        <family val="2"/>
        <scheme val="minor"/>
      </rPr>
      <t>Do Not Freeze</t>
    </r>
  </si>
  <si>
    <t>Logging winch</t>
  </si>
  <si>
    <t xml:space="preserve">Winch to be used for Dust Logging </t>
  </si>
  <si>
    <t>Used weights and cubes of IDP deep logging winch. Send back end of season</t>
  </si>
  <si>
    <t>Logging winch control box</t>
  </si>
  <si>
    <r>
      <t xml:space="preserve">Control Box for winch for Dust Logging  - sensitive equipment - </t>
    </r>
    <r>
      <rPr>
        <sz val="12"/>
        <color rgb="FFFF0000"/>
        <rFont val="Calibri"/>
        <family val="2"/>
        <scheme val="minor"/>
      </rPr>
      <t>Do Not Freeze</t>
    </r>
  </si>
  <si>
    <t>U. Wisconsin totals:</t>
  </si>
  <si>
    <t>Cargo departing MSU</t>
  </si>
  <si>
    <t>Surface Junction Boxes</t>
  </si>
  <si>
    <t xml:space="preserve">Surface Junction Boxes  can overwinter in McM if shipped earlier. 7 junction boxes </t>
  </si>
  <si>
    <t>MSU</t>
  </si>
  <si>
    <t>MSU - PTH</t>
  </si>
  <si>
    <t>T. DeYoung</t>
  </si>
  <si>
    <t>Each is 66" x 30" x 14", each is 112 lbs. Assume Folding crate. Simple passive objects, work plan can probably be shifted to increase float.</t>
  </si>
  <si>
    <t>Surface Cable Assemblies</t>
  </si>
  <si>
    <r>
      <t xml:space="preserve">Palletized wooden cable drums (Qty: 7). Can overwinter in MCM. </t>
    </r>
    <r>
      <rPr>
        <sz val="12"/>
        <color rgb="FFFF0000"/>
        <rFont val="Calibri (Body)"/>
      </rPr>
      <t>Do Not Deep Freeze</t>
    </r>
  </si>
  <si>
    <t>DNDF [-55C]</t>
  </si>
  <si>
    <t xml:space="preserve">Shipping date early due to storage limitations at MSU. Additional float at Port Hueneme assuming USAP vessel departure.  </t>
  </si>
  <si>
    <t>Breakout cables for strings 87-88</t>
  </si>
  <si>
    <r>
      <t xml:space="preserve">Standard vessel shipping.  2 wooden crates containing spooled breakout cable assemblies - 96 cf / 1,000 lbs each - Cryo storage -  </t>
    </r>
    <r>
      <rPr>
        <sz val="12"/>
        <color rgb="FFFF0000"/>
        <rFont val="Calibri (Body)"/>
      </rPr>
      <t>Do Not Deep Freeze</t>
    </r>
  </si>
  <si>
    <t>DNDF[-40C](*)</t>
  </si>
  <si>
    <t>FY25 Vessel</t>
  </si>
  <si>
    <t>Shipping date early due to storage limitations at MSU. Additional float at Port Hueneme assuming USAP vessel departure.  Preliminary estimate of weight and size.  Pre-staging string 87-88 equipment in cryo or ICL. - if storage at Pole not possible, could overwinter in McM (at an increased risk and pending low temperature test) (*)</t>
  </si>
  <si>
    <t>Breakout cables for strings 89-93</t>
  </si>
  <si>
    <r>
      <t xml:space="preserve">Stored in McMurdo FY24. 5 wooden crates containing spooled breakout cable assemblies - 96 cf/ 1,000 lbs each (preliminary) - </t>
    </r>
    <r>
      <rPr>
        <sz val="12"/>
        <color rgb="FFFF0000"/>
        <rFont val="Calibri (Body)"/>
      </rPr>
      <t xml:space="preserve"> Do Not Deep Freeze</t>
    </r>
  </si>
  <si>
    <t xml:space="preserve">Float in PTH due to storage limitation in MSU.
(*) storage in McMurdo pending low temperature test  </t>
  </si>
  <si>
    <r>
      <t xml:space="preserve">May be possible to store in McMurdo until drill season - </t>
    </r>
    <r>
      <rPr>
        <sz val="12"/>
        <color rgb="FFFF0000"/>
        <rFont val="Calibri"/>
        <family val="2"/>
        <scheme val="minor"/>
      </rPr>
      <t>Do Not Deep Freeze</t>
    </r>
  </si>
  <si>
    <t>Shipping date synched with main (downhole) cables due to storage limitation in MSU. Float in PTH.</t>
  </si>
  <si>
    <t>Main (downhole) cables 87-93</t>
  </si>
  <si>
    <t>FY24 inter</t>
  </si>
  <si>
    <t>Shipping date chosen to be 2 weeks after scheduled ready to ship date because of storage limitations at MSU. additional 7 months of float at Port Hueneme assuming USAP vessel departure.  (*) storage in McMurdo pending low temperature test.</t>
  </si>
  <si>
    <t>String Sensors 89-93 (mDOMs MSU)</t>
  </si>
  <si>
    <r>
      <t>Optical Sensors for 5 strings from MSU (mDOMs) -</t>
    </r>
    <r>
      <rPr>
        <sz val="12"/>
        <color rgb="FFFF0000"/>
        <rFont val="Calibri"/>
        <family val="2"/>
        <scheme val="minor"/>
      </rPr>
      <t xml:space="preserve"> Do Not Deep Freeze</t>
    </r>
  </si>
  <si>
    <t>actual(**)</t>
  </si>
  <si>
    <t>mDOM weight is 28 kg/boxed + 35kg pallet, assume 8 mDOMs/pallet (189 to be deployed + 11 spares)(*)Assumed to be shipped in 2x20' HC  (5115 lbs, 238inx96inx114in) or a 40 ft HC, purchased by MSU or loaned in PTH (container weight not included)</t>
  </si>
  <si>
    <r>
      <t>Optical Sensors for 5 strings from MSU (mDOMs) containers (TBD) -</t>
    </r>
    <r>
      <rPr>
        <sz val="12"/>
        <color rgb="FFFF0000"/>
        <rFont val="Calibri"/>
        <family val="2"/>
        <scheme val="minor"/>
      </rPr>
      <t xml:space="preserve"> Do Not Deep Freeze</t>
    </r>
  </si>
  <si>
    <t>Assume 2x20HC containers for transport on COMSUR (TBC). Pallets could be loaded to 53 ft truck and loaded into a loaned container in PTH but this would increase touch points (and risk)</t>
  </si>
  <si>
    <t>MSU Totals:</t>
  </si>
  <si>
    <t>Cargo departing other institutions in US</t>
  </si>
  <si>
    <t>DM-Ice</t>
  </si>
  <si>
    <r>
      <t xml:space="preserve">DM-ice (two modules for string 89 and 90) - </t>
    </r>
    <r>
      <rPr>
        <sz val="12"/>
        <color rgb="FFFF0000"/>
        <rFont val="Calibri"/>
        <family val="2"/>
        <scheme val="minor"/>
      </rPr>
      <t>Do Not Deep Freeze</t>
    </r>
  </si>
  <si>
    <t>Yale</t>
  </si>
  <si>
    <t>Yale - PTH</t>
  </si>
  <si>
    <t>M. Kauer</t>
  </si>
  <si>
    <t>Other Institutions Totals:</t>
  </si>
  <si>
    <t>Cargo departing Germany (Europe)</t>
  </si>
  <si>
    <t>String Sensors 87-88 (mDOMs DESY)</t>
  </si>
  <si>
    <r>
      <t xml:space="preserve">Optical sensors for 2 strings from Germany (mDOMs) (spares included) - </t>
    </r>
    <r>
      <rPr>
        <sz val="12"/>
        <color rgb="FFFF0000"/>
        <rFont val="Calibri"/>
        <family val="2"/>
        <scheme val="minor"/>
      </rPr>
      <t>Do Not Deep Freeze</t>
    </r>
  </si>
  <si>
    <t>DESY</t>
  </si>
  <si>
    <t>DESY - CHC</t>
  </si>
  <si>
    <t>ComSur</t>
  </si>
  <si>
    <t>DESY-CHC</t>
  </si>
  <si>
    <t>mDOM weight is 62 lbs (25kg/sensor + 3 kg/box) + 35kg pallet, assume 8 mDOMs/pallet - 116 to be deployed + 12 spares - 
shipped in 20 HC container. Container weight not included in the assumption that pallet will be taken out in CHC.</t>
  </si>
  <si>
    <r>
      <t xml:space="preserve">Optical sensors for 2 strings from Germany (mDOMs) (SPARES) - </t>
    </r>
    <r>
      <rPr>
        <sz val="12"/>
        <color rgb="FFFF0000"/>
        <rFont val="Calibri (Body)"/>
      </rPr>
      <t>Do Not Deep Freeze</t>
    </r>
  </si>
  <si>
    <t>mDOM weight is 62 lbs (25kg/sensor + 3 kg/box) + 35kg pallet, assume 8 mDOMs/pallet - shipped in 20 HC container. Container weight not included in the assumption that pallet will be taken out in CHC.</t>
  </si>
  <si>
    <t>Special Devices 87-88 (Europe)</t>
  </si>
  <si>
    <r>
      <t xml:space="preserve">Special devices for 2 strings from DESY/Germany/Sweden (8 WOMs, 0 Abalone) + spares - </t>
    </r>
    <r>
      <rPr>
        <sz val="12"/>
        <color rgb="FFFF0000"/>
        <rFont val="Calibri (Body)"/>
      </rPr>
      <t>Do Not Deep Freeze</t>
    </r>
  </si>
  <si>
    <t>Mainz</t>
  </si>
  <si>
    <t xml:space="preserve">8 WOMs (no spares) - AH not included for now. Assume 150 lbs crate.  </t>
  </si>
  <si>
    <t>Calibration Devices 87-88 (Europe)</t>
  </si>
  <si>
    <r>
      <t xml:space="preserve">Calibration devices for 2 strings from DESY/Germany/Sweden (4+2 POCAMs, 3+1 Acoustic sensors,  2+1 Swedish Cameras) - </t>
    </r>
    <r>
      <rPr>
        <sz val="12"/>
        <color rgb="FFFF0000"/>
        <rFont val="Calibri (Body)"/>
      </rPr>
      <t>Do Not Deep Freeze</t>
    </r>
  </si>
  <si>
    <t>TUM/Aachen/Sweden</t>
  </si>
  <si>
    <t>Calibration devices for strings 87-88 = 2+1 Sweden Camera + 3+1 Acoustic Module + 4+1 POCAM, including spares, 200 lbs crate</t>
  </si>
  <si>
    <t>FieldHub electronics</t>
  </si>
  <si>
    <r>
      <t xml:space="preserve">Required onsite for FY24 installation. 1 crate containing readout electronics for installation in ICL - </t>
    </r>
    <r>
      <rPr>
        <sz val="12"/>
        <color rgb="FFFF0000"/>
        <rFont val="Calibri"/>
        <family val="2"/>
        <scheme val="minor"/>
      </rPr>
      <t>Do Not Freeze</t>
    </r>
  </si>
  <si>
    <t>Field Hubs are 442mm x 480mm x 133 mm (17.4" x 18.9" x 5.2") and weight maybe 10 lb each.  100 lbs crate. Ready to ship date actually chosen to be 2 weeks ahead of ship date to maximize time with the electronics (sort of backloaded)</t>
  </si>
  <si>
    <t>String Sensors 89-93 (mDOMs DESY)</t>
  </si>
  <si>
    <r>
      <t xml:space="preserve">Optical sensors for 5 strings from Germany (mDOMs) - </t>
    </r>
    <r>
      <rPr>
        <sz val="12"/>
        <color rgb="FFFF0000"/>
        <rFont val="Calibri"/>
        <family val="2"/>
        <scheme val="minor"/>
      </rPr>
      <t>Do Not Deep Freeze</t>
    </r>
  </si>
  <si>
    <t>mDOM weight is (28kg/sensor boxed) + 35kg pallet, assume 8 mDOMs/pallet - 190 to be deployed + 10 spares. (**) shipped in 20 HC container. Container not included in weight as pallets will be taken out.</t>
  </si>
  <si>
    <t>Special Devices 89-93 (Europe)</t>
  </si>
  <si>
    <r>
      <t xml:space="preserve">Special devices for 5 remaining strings from DESY/Germany/Sweden (6 WOMs,  3 Abalone Hubs or WOM Traps)  no spares - </t>
    </r>
    <r>
      <rPr>
        <sz val="12"/>
        <color rgb="FFFF0000"/>
        <rFont val="Calibri (Body)"/>
      </rPr>
      <t>Do Not Deep Freeze</t>
    </r>
  </si>
  <si>
    <t>6 Special Devices from Germany 6 (WOM + 0 AH) including 0 spare for each. Assume 170 lbs crate.</t>
  </si>
  <si>
    <t>Calibration Devices 89-93 (Europe)</t>
  </si>
  <si>
    <r>
      <t xml:space="preserve">Calibration for 5 strings from DESY/Germany/Sweden (17+2 POCAMs, 7+ 1 Acoustic sensors,  3+ 1 Swedish Cameras) including spares - </t>
    </r>
    <r>
      <rPr>
        <sz val="12"/>
        <color rgb="FFFF0000"/>
        <rFont val="Calibri (Body)"/>
      </rPr>
      <t>Do Not Deep Freeze</t>
    </r>
  </si>
  <si>
    <t>Calibration devices for strings 89-93 = 3+1 Sweden Camera,7+1 + Acoustic Module,17 +1 POCAM, including spares, 200 lbs crate</t>
  </si>
  <si>
    <t>DESY/Aachen/TUM/Sweden etc Totals:</t>
  </si>
  <si>
    <t>Cargo departing Chiba (Japan)</t>
  </si>
  <si>
    <t>String Sensors 87 &amp; 88 (D-Eggs-8x)</t>
  </si>
  <si>
    <r>
      <t xml:space="preserve">Sensors (D-Eggs) pallets with 8 sensors  at Pole overwinter - Cryo location - </t>
    </r>
    <r>
      <rPr>
        <sz val="12"/>
        <color rgb="FFFF0000"/>
        <rFont val="Calibri"/>
        <family val="2"/>
        <scheme val="minor"/>
      </rPr>
      <t>Do Not Deep Freeze</t>
    </r>
  </si>
  <si>
    <t>Chiba</t>
  </si>
  <si>
    <t>ChibaU - CHC</t>
  </si>
  <si>
    <t>Cargo shipment by CHU</t>
  </si>
  <si>
    <t>S. Yoshida</t>
  </si>
  <si>
    <t xml:space="preserve">Box size is 480x480x770mm (19"x19"x30.5"). 2x12-DEgg pallets combined with 2x8-DEgg pallets to form one 463L pallet </t>
  </si>
  <si>
    <r>
      <t xml:space="preserve">Sensors (D-Eggs) pallets with 8 sensors  at Pole overwinter (SPARES - TBD) - Cryo location - </t>
    </r>
    <r>
      <rPr>
        <sz val="12"/>
        <color rgb="FFFF0000"/>
        <rFont val="Calibri"/>
        <family val="2"/>
        <scheme val="minor"/>
      </rPr>
      <t>Do Not Deep Freeze</t>
    </r>
    <r>
      <rPr>
        <sz val="12"/>
        <rFont val="Calibri"/>
        <family val="2"/>
        <scheme val="minor"/>
      </rPr>
      <t xml:space="preserve"> </t>
    </r>
  </si>
  <si>
    <t xml:space="preserve">SPARES number to be confirmed.  </t>
  </si>
  <si>
    <t>String Sensors 87 &amp; 88 (D-Eggs-12x)</t>
  </si>
  <si>
    <r>
      <t xml:space="preserve">Sensors (D-Eggs) pallets with 12 sensors  at Pole overwinter - Cryo location - </t>
    </r>
    <r>
      <rPr>
        <sz val="12"/>
        <color rgb="FFFF0000"/>
        <rFont val="Calibri"/>
        <family val="2"/>
        <scheme val="minor"/>
      </rPr>
      <t>Do Not Deep Freeze</t>
    </r>
  </si>
  <si>
    <t xml:space="preserve">2x12-DEgg pallets combined with 2x8-DEgg pallets to form one 463L pallet </t>
  </si>
  <si>
    <r>
      <t xml:space="preserve">Sensors (D-Eggs) pallets with 12 sensors  at Pole overwinter (SPARES - TBD)- Cryo location - </t>
    </r>
    <r>
      <rPr>
        <sz val="12"/>
        <color rgb="FFFF0000"/>
        <rFont val="Calibri"/>
        <family val="2"/>
        <scheme val="minor"/>
      </rPr>
      <t>Do Not Deep Freeze</t>
    </r>
  </si>
  <si>
    <t xml:space="preserve">SPARES number to be confirmed. </t>
  </si>
  <si>
    <t>String Sensors 89-93 (D-Eggs-8x)</t>
  </si>
  <si>
    <r>
      <t xml:space="preserve">Sensors (D-Eggs) pallets with 8 sensors - </t>
    </r>
    <r>
      <rPr>
        <sz val="12"/>
        <color rgb="FFFF0000"/>
        <rFont val="Calibri"/>
        <family val="2"/>
        <scheme val="minor"/>
      </rPr>
      <t>Do Not Deep Freeze</t>
    </r>
  </si>
  <si>
    <t>String Sensors 89-93 (D-Eggs-12x)</t>
  </si>
  <si>
    <r>
      <t xml:space="preserve">Sensors (D-Eggs) pallets with 12 sensors - </t>
    </r>
    <r>
      <rPr>
        <sz val="12"/>
        <color rgb="FFFF0000"/>
        <rFont val="Calibri"/>
        <family val="2"/>
        <scheme val="minor"/>
      </rPr>
      <t>Do Not Deep Freeze</t>
    </r>
  </si>
  <si>
    <t>Chiba Totals:</t>
  </si>
  <si>
    <t xml:space="preserve">Fuel </t>
  </si>
  <si>
    <t>Fuel</t>
  </si>
  <si>
    <t>Field Season 0 Fuel</t>
  </si>
  <si>
    <t>Fuel to support following field seasons</t>
  </si>
  <si>
    <t>FY23 LC-Tanker</t>
  </si>
  <si>
    <t>T. Benson</t>
  </si>
  <si>
    <t>Field Season 1 Fuel</t>
  </si>
  <si>
    <t>Fuel to support FY23 field season - Base fuel</t>
  </si>
  <si>
    <t>FY24 LC-Tanker</t>
  </si>
  <si>
    <t>Field Season 1 Fuel Contingency</t>
  </si>
  <si>
    <t>Fuel to support FY23 field season - Contingency</t>
  </si>
  <si>
    <t>Field Season 2 Fuel</t>
  </si>
  <si>
    <t>Fuel to support FY24 field season - Base fuel, firn drilling &amp; over winter heating</t>
  </si>
  <si>
    <t>FY25 LC-Tanker</t>
  </si>
  <si>
    <t>Field Season 2 Fuel Contingency</t>
  </si>
  <si>
    <t>Fuel to support FY24 field season - Contingency</t>
  </si>
  <si>
    <t>Field Season 3 Fuel</t>
  </si>
  <si>
    <t>Fuel to support FY25 field season - Base fuel &amp; deep drilling</t>
  </si>
  <si>
    <t>FY26 LC-Tanker</t>
  </si>
  <si>
    <t>Field Season 3 Fuel Contingency</t>
  </si>
  <si>
    <t>Fuel to support FY25 field season - Contingency</t>
  </si>
  <si>
    <t>Fuel Totals:</t>
  </si>
  <si>
    <t>gallons</t>
  </si>
  <si>
    <t>All IC/Upgrade cargo volume (with fuel):</t>
  </si>
  <si>
    <t>TEU</t>
  </si>
  <si>
    <t>All IC/Upgrade cargo volume (without fuel):</t>
  </si>
  <si>
    <t>Legend:</t>
  </si>
  <si>
    <t>Cargo Item</t>
  </si>
  <si>
    <t>Item to be procured or fabricated</t>
  </si>
  <si>
    <t>Description</t>
  </si>
  <si>
    <t>Brief description of item</t>
  </si>
  <si>
    <t>cargo ready before</t>
  </si>
  <si>
    <t>Owner/Guardian</t>
  </si>
  <si>
    <t>UWIsc/ICNO-U Project Team member responsible for completion</t>
  </si>
  <si>
    <t>cargo not ready before</t>
  </si>
  <si>
    <t>Completion Date</t>
  </si>
  <si>
    <t>Date in PMB for completion (mm/dd/yy)</t>
  </si>
  <si>
    <t>sumcheck</t>
  </si>
  <si>
    <t>Shipment Date</t>
  </si>
  <si>
    <t>Date in PMB for shipment (mm/dd/yy)</t>
  </si>
  <si>
    <t>Weight</t>
  </si>
  <si>
    <t>Pounds (lbs)</t>
  </si>
  <si>
    <t>Dimensions</t>
  </si>
  <si>
    <t>L x W x H (inches) or cubic feet</t>
  </si>
  <si>
    <t>General Assumption</t>
  </si>
  <si>
    <t>All cargo is destined for South Pole</t>
  </si>
  <si>
    <t>Routing Options</t>
  </si>
  <si>
    <t>Port Hueneme&gt;&gt;Christchurch&gt;&gt;McMurdo</t>
  </si>
  <si>
    <t>Transportation Options</t>
  </si>
  <si>
    <t>USAP Vessel, Commercial ship or air carrier (COMSUR or COMAIR), C-17 (CHC-MCM), LC-130 or SPoT (MCM-SPA)</t>
  </si>
  <si>
    <t>Month for Items expected at South Pole</t>
  </si>
  <si>
    <t>Needed on-site date (Nov, Dec, or Jan)</t>
  </si>
  <si>
    <t>Grouping by WPs could be done after the "cargo pipeline" is set by the item's "origin"</t>
  </si>
  <si>
    <t xml:space="preserve">Basis of Estimate </t>
  </si>
  <si>
    <t>Estimate (expert guess), Preliminary (based on design), Actual (as built)</t>
  </si>
  <si>
    <t>FS1</t>
  </si>
  <si>
    <t xml:space="preserve">Field season to finishing EHWD refurbishment </t>
  </si>
  <si>
    <t>FS2</t>
  </si>
  <si>
    <t>Pre-drilling season: staging Drill Camp, firn holes shallow drilling</t>
  </si>
  <si>
    <t>FS3</t>
  </si>
  <si>
    <t>The season of drilling deep ice holes &amp; deploying DOMs</t>
  </si>
  <si>
    <t>Do Not Freeze</t>
  </si>
  <si>
    <t>DNDF</t>
  </si>
  <si>
    <t>Do Not Deep Freeze [min Temperature for storage] - for storage temp &gt; -53C</t>
  </si>
  <si>
    <t>CROSS CHECKS</t>
  </si>
  <si>
    <t>cubic feet</t>
  </si>
  <si>
    <t>lbs</t>
  </si>
  <si>
    <t>Cells will be green if all the cargo is taken into account</t>
  </si>
  <si>
    <t>Delta</t>
  </si>
  <si>
    <t>inter-continental to go</t>
  </si>
  <si>
    <t>intra-continental to go</t>
  </si>
  <si>
    <t>TOTAL PROJECT CARGO</t>
  </si>
  <si>
    <t>inter-continental</t>
  </si>
  <si>
    <t>intra-continental</t>
  </si>
  <si>
    <t>start</t>
  </si>
  <si>
    <t>end</t>
  </si>
  <si>
    <t>McMurdo label</t>
  </si>
  <si>
    <t>Pole label</t>
  </si>
  <si>
    <t>FY22 inter</t>
  </si>
  <si>
    <t>FY22 intra</t>
  </si>
  <si>
    <t>FY24 intra</t>
  </si>
  <si>
    <t>FY25 inter</t>
  </si>
  <si>
    <t>FY25 intra</t>
  </si>
  <si>
    <t>FY26 inter</t>
  </si>
  <si>
    <t>FY26 intra</t>
  </si>
  <si>
    <t>SPOT DATES</t>
  </si>
  <si>
    <t>USE THESE DATES ONLY FOR SPOT!</t>
  </si>
  <si>
    <t>FY23 SPOT 1</t>
  </si>
  <si>
    <t>FY23 SPOT 2</t>
  </si>
  <si>
    <t>FY23 SPOT 3</t>
  </si>
  <si>
    <t>FY24 SPOT 1</t>
  </si>
  <si>
    <t>FY24 SPOT 2</t>
  </si>
  <si>
    <t>FY24 SPOT 3</t>
  </si>
  <si>
    <t>FY25 SPOT 1</t>
  </si>
  <si>
    <t>FY25 SPOT 2</t>
  </si>
  <si>
    <t>FY25 SPOT 3</t>
  </si>
  <si>
    <t>FY26 SPOT 1</t>
  </si>
  <si>
    <t>FY26 SPOT 2</t>
  </si>
  <si>
    <t>FY26 SPoT 3</t>
  </si>
  <si>
    <t>Item description</t>
  </si>
  <si>
    <t>Point of Departure (Point of Origin)</t>
  </si>
  <si>
    <t>volume 
[cu ft]</t>
  </si>
  <si>
    <t>fraction of  volume</t>
  </si>
  <si>
    <t>weight 
[lbs]</t>
  </si>
  <si>
    <t>fraction of weight</t>
  </si>
  <si>
    <t>cables (SCAs, MCAs, BCAs, SJBs)</t>
  </si>
  <si>
    <t>MSU (MSU)</t>
  </si>
  <si>
    <t>D-Eggs</t>
  </si>
  <si>
    <t>CHIBA  (CHIBA)</t>
  </si>
  <si>
    <t>mDOMs + D-Eggs</t>
  </si>
  <si>
    <t>mDOMs</t>
  </si>
  <si>
    <t>DESY (DESY) / MSU (MSU)</t>
  </si>
  <si>
    <t>calibration + special
+ logging devices</t>
  </si>
  <si>
    <t>calibration &amp; special devices</t>
  </si>
  <si>
    <t>UW (various)/
DESY (various)</t>
  </si>
  <si>
    <t>dm-ice</t>
  </si>
  <si>
    <t>YALE  (YALE)</t>
  </si>
  <si>
    <t>dust logger</t>
  </si>
  <si>
    <t>UW (UW)</t>
  </si>
  <si>
    <t>ICL + science</t>
  </si>
  <si>
    <t>DOM Handling Facility</t>
  </si>
  <si>
    <t xml:space="preserve">Installation equipment </t>
  </si>
  <si>
    <t>hardware (rigging and weights)</t>
  </si>
  <si>
    <t xml:space="preserve">Drill equipment </t>
  </si>
  <si>
    <t>misc science</t>
  </si>
  <si>
    <t>ICL equipment</t>
  </si>
  <si>
    <t>Total</t>
  </si>
  <si>
    <t>installation equipment total</t>
  </si>
  <si>
    <t>SEE ABOVE</t>
  </si>
  <si>
    <t>fuel</t>
  </si>
  <si>
    <t>Drill equipment total</t>
  </si>
  <si>
    <t>total plus fuel</t>
  </si>
  <si>
    <t>Logistics equipment total</t>
  </si>
  <si>
    <t>total</t>
  </si>
  <si>
    <t>Each String</t>
  </si>
  <si>
    <t>various</t>
  </si>
  <si>
    <t>fraction of volume</t>
  </si>
  <si>
    <t>Rodwell Drill and System</t>
  </si>
  <si>
    <t>Generators, HPU, fuel tower</t>
  </si>
  <si>
    <t>Hose, drill heads and weight stack</t>
  </si>
  <si>
    <t>Reels</t>
  </si>
  <si>
    <t>Drill Heads and weight stack</t>
  </si>
  <si>
    <t>Refit, spare cable, support equip.</t>
  </si>
  <si>
    <t>Refit Components</t>
  </si>
  <si>
    <t>Drill Equipment</t>
  </si>
  <si>
    <t>Support Equipment</t>
  </si>
  <si>
    <t>Installation Equipment</t>
  </si>
  <si>
    <t>Drill equipment</t>
  </si>
  <si>
    <t>Logistics Equipment</t>
  </si>
  <si>
    <t>Sensors</t>
  </si>
  <si>
    <t>Cables &amp; hardware</t>
  </si>
  <si>
    <t>DHF</t>
  </si>
  <si>
    <t>Firn Drill &amp; ARA drill</t>
  </si>
  <si>
    <t>Hose, drill heads, weight stack, reels</t>
  </si>
  <si>
    <t>Refit components, spare cable, support equipment</t>
  </si>
  <si>
    <t>By Point Departure</t>
  </si>
  <si>
    <t>Weight [lbs]</t>
  </si>
  <si>
    <t>Volume [cuft]</t>
  </si>
  <si>
    <t>Point of Origin same as Point of Departure</t>
  </si>
  <si>
    <t>Point of Origin different from Point of Departure</t>
  </si>
  <si>
    <t>Cargo (total) by BoE</t>
  </si>
  <si>
    <t>Installation cargo by BoE</t>
  </si>
  <si>
    <t>Drill cargo by BoE</t>
  </si>
  <si>
    <r>
      <t xml:space="preserve">Date of expected  or </t>
    </r>
    <r>
      <rPr>
        <b/>
        <i/>
        <sz val="12"/>
        <color rgb="FF00B050"/>
        <rFont val="Calibri (Body)"/>
      </rPr>
      <t>actual</t>
    </r>
    <r>
      <rPr>
        <b/>
        <sz val="12"/>
        <color rgb="FF000000"/>
        <rFont val="Calibri"/>
        <family val="2"/>
        <scheme val="minor"/>
      </rPr>
      <t xml:space="preserve">  completion </t>
    </r>
  </si>
  <si>
    <t>Recommended Intracontinental  Date (FY)</t>
  </si>
  <si>
    <t>Total Time Between Shipment and Latest Arrival Date at NPX</t>
  </si>
  <si>
    <t>Total cu ft</t>
  </si>
  <si>
    <t>Total lbs</t>
  </si>
  <si>
    <t>Sled count</t>
  </si>
  <si>
    <t>SPOT 1</t>
  </si>
  <si>
    <t>SPOT 2</t>
  </si>
  <si>
    <t>SPOT 3</t>
  </si>
  <si>
    <t>463L count</t>
  </si>
  <si>
    <t>TEU count</t>
  </si>
  <si>
    <t>40F</t>
  </si>
  <si>
    <t>40D</t>
  </si>
  <si>
    <t>20D</t>
  </si>
  <si>
    <t>20F</t>
  </si>
  <si>
    <t>INTER TO GO</t>
  </si>
  <si>
    <t>INTRA TO GO</t>
  </si>
  <si>
    <t>total inter cargo equal to total project cargo in master input sheet</t>
  </si>
  <si>
    <t>INTER PROJECT TOTAL (Includes Fuel)</t>
  </si>
  <si>
    <t>total intra cargo equal to total project cargo in master input sheet</t>
  </si>
  <si>
    <t xml:space="preserve"> INTRA PROJECT TOTAL (Includes Fuel)</t>
  </si>
  <si>
    <t>Intercontinental leg</t>
  </si>
  <si>
    <t>Intracontinental leg</t>
  </si>
  <si>
    <t>FY23 intercontinental</t>
  </si>
  <si>
    <t>FY23 intracontinental</t>
  </si>
  <si>
    <t>FY24 intercontinental</t>
  </si>
  <si>
    <t>FY24 intracontinental</t>
  </si>
  <si>
    <t>FY25 intercontinental</t>
  </si>
  <si>
    <t>FY25 intracontinental</t>
  </si>
  <si>
    <t>FY26 intercontinental</t>
  </si>
  <si>
    <t>At the South Pole</t>
  </si>
  <si>
    <t>In  McMurdo</t>
  </si>
  <si>
    <t>Total project cargo</t>
  </si>
  <si>
    <t>cross check</t>
  </si>
  <si>
    <t>AN-8 lbs/gal</t>
  </si>
  <si>
    <t>TEU Count</t>
  </si>
  <si>
    <t>C-17 Pallet Allocation</t>
  </si>
  <si>
    <t># SPOT
Sleds</t>
  </si>
  <si>
    <t># 263 
Pallets</t>
  </si>
  <si>
    <t>Fiscal Year</t>
  </si>
  <si>
    <t>Needed 
Fuel [Gallons]</t>
  </si>
  <si>
    <t># 263 Pallets
(ROUND UP)</t>
  </si>
  <si>
    <t>Cargo Weight 
including Pallets and TDE [lbs]</t>
  </si>
  <si>
    <t>Available 
LC Flights</t>
  </si>
  <si>
    <t>Available ACLs
[lbs]
1 flight = 23800 lbs</t>
  </si>
  <si>
    <t>LC Cargo</t>
  </si>
  <si>
    <t>Available Capacity for fuel
[lbs]</t>
  </si>
  <si>
    <t>Fuel delivered by 
LC -130 for ICU [Gallons] using 6.8 lbs/gallon for AN-8</t>
  </si>
  <si>
    <t>Available LC Flight for Tanker Missions</t>
  </si>
  <si>
    <t>Fuel Delivered by 
LC -130 for ICU [Gallons]</t>
  </si>
  <si>
    <t>ACL [lbs]</t>
  </si>
  <si>
    <t>FY23 LC-130</t>
  </si>
  <si>
    <t>FY23</t>
  </si>
  <si>
    <t># pallets/LC-130</t>
  </si>
  <si>
    <t>LC-130 flight hours</t>
  </si>
  <si>
    <t>FY24 LC-130</t>
  </si>
  <si>
    <t>FY24</t>
  </si>
  <si>
    <t>Year</t>
  </si>
  <si>
    <t>FY23 Capacity</t>
  </si>
  <si>
    <t>FY23 Planned</t>
  </si>
  <si>
    <t>FY24 Capacity</t>
  </si>
  <si>
    <t>FY24 Planned</t>
  </si>
  <si>
    <t>FY25 Capacity</t>
  </si>
  <si>
    <t>FY25 Planned</t>
  </si>
  <si>
    <t>FY26 Capacity</t>
  </si>
  <si>
    <t>FY26 Planned</t>
  </si>
  <si>
    <t>FY27 Capacity</t>
  </si>
  <si>
    <t>FY27 Planned</t>
  </si>
  <si>
    <t>Vessel South (TEU)</t>
  </si>
  <si>
    <t>as needed</t>
  </si>
  <si>
    <t>n/a</t>
  </si>
  <si>
    <t>Vessel North (TEU)</t>
  </si>
  <si>
    <t>0.5 (EST)</t>
  </si>
  <si>
    <t>TBD</t>
  </si>
  <si>
    <t>FY26 Vessel</t>
  </si>
  <si>
    <t>LC-130: Hours/Flights - Cargo [lbs]</t>
  </si>
  <si>
    <t>12/2</t>
  </si>
  <si>
    <t>114/19</t>
  </si>
  <si>
    <t>60/10</t>
  </si>
  <si>
    <t>42/7</t>
  </si>
  <si>
    <t>36/6</t>
  </si>
  <si>
    <t>FY25 LC-130</t>
  </si>
  <si>
    <t>FY25</t>
  </si>
  <si>
    <t>LC-130: Hours/Flights - Fuel [gallons]</t>
  </si>
  <si>
    <t>SPOT-1 (Sleds/Weights, lbs)</t>
  </si>
  <si>
    <t>3/180,000</t>
  </si>
  <si>
    <t>SPOT-2 (Sleds/Weights, lbs)</t>
  </si>
  <si>
    <t>SPOT-3 (Sleds/Weights, lbs)</t>
  </si>
  <si>
    <t>3/46,791 R</t>
  </si>
  <si>
    <t>Total Vessel</t>
  </si>
  <si>
    <t>FY26 LC-130</t>
  </si>
  <si>
    <t>FY26</t>
  </si>
  <si>
    <t>Pole Population (Nov-Jan)</t>
  </si>
  <si>
    <t>Total ComSur</t>
  </si>
  <si>
    <t xml:space="preserve">without flight hours </t>
  </si>
  <si>
    <t>FY26 SPOT 3</t>
  </si>
  <si>
    <t>LC-130: Flights / Cargo [lbs]</t>
  </si>
  <si>
    <t>2 missions</t>
  </si>
  <si>
    <t>19 missions</t>
  </si>
  <si>
    <t>10 missions</t>
  </si>
  <si>
    <t>7 missions</t>
  </si>
  <si>
    <t>6 missions</t>
  </si>
  <si>
    <t>LC-130: Flights / Fuel [gallons]</t>
  </si>
  <si>
    <t>SPOT-1 (Sleds/lbs)</t>
  </si>
  <si>
    <t>SPOT-2 (Sleds/lbs)</t>
  </si>
  <si>
    <t>SPOT-3 (Sleds/lbs)</t>
  </si>
  <si>
    <t>FY23 Intercontinental</t>
  </si>
  <si>
    <t>COMAIR Pounds</t>
  </si>
  <si>
    <t>COMSUR Pounds</t>
  </si>
  <si>
    <t>TDE + Pallet /463L</t>
  </si>
  <si>
    <t>gallons/LC-130</t>
  </si>
  <si>
    <t>FY23 Intracontinental</t>
  </si>
  <si>
    <t>LC-130 Pallet Allocation</t>
  </si>
  <si>
    <t>LC-130 Missions</t>
  </si>
  <si>
    <t>LC-130 Flight Hours</t>
  </si>
  <si>
    <t>SPOT Sled Allocation</t>
  </si>
  <si>
    <t>FY24 Intercontinental</t>
  </si>
  <si>
    <t>FY24 Intracontinental</t>
  </si>
  <si>
    <t>FY25 Intercontinental</t>
  </si>
  <si>
    <t>FY25 Intracontinental</t>
  </si>
  <si>
    <t>FY26 Intercontinental</t>
  </si>
  <si>
    <t>FY26 Intracontinental</t>
  </si>
  <si>
    <t>Total Intercontinental Movements for project- vessel/air</t>
  </si>
  <si>
    <t>Total 40F</t>
  </si>
  <si>
    <t>Total 40D</t>
  </si>
  <si>
    <t>Total 20D</t>
  </si>
  <si>
    <t>Total 20F</t>
  </si>
  <si>
    <t>Total TEU</t>
  </si>
  <si>
    <t>Total 463L</t>
  </si>
  <si>
    <t>Total Intracontinental Movements for project- LC-130</t>
  </si>
  <si>
    <t>Total LC-130 Missions</t>
  </si>
  <si>
    <t>Total LC-130 Flight Hours</t>
  </si>
  <si>
    <t>Total SPOT Sleds</t>
  </si>
  <si>
    <t>WBS</t>
  </si>
  <si>
    <t>Retrograde</t>
  </si>
  <si>
    <t>Conveyance</t>
  </si>
  <si>
    <t>Details</t>
  </si>
  <si>
    <t>Contents</t>
  </si>
  <si>
    <t>Outyear Pole Retro</t>
  </si>
  <si>
    <t>On A2 Critical Path?</t>
  </si>
  <si>
    <t>Cube [cf]</t>
  </si>
  <si>
    <t>Gen2</t>
  </si>
  <si>
    <t>USAP Air to CHC</t>
  </si>
  <si>
    <t>Ship north by station close FY22</t>
  </si>
  <si>
    <t>TOTAL</t>
  </si>
  <si>
    <t xml:space="preserve">8' container </t>
  </si>
  <si>
    <t>USAP Air + COMSUR</t>
  </si>
  <si>
    <r>
      <t xml:space="preserve">Multiple crates - </t>
    </r>
    <r>
      <rPr>
        <sz val="14"/>
        <color rgb="FFFF0000"/>
        <rFont val="Calibri"/>
        <family val="2"/>
        <scheme val="minor"/>
      </rPr>
      <t>DNF</t>
    </r>
  </si>
  <si>
    <t xml:space="preserve">Retrograde components and equipment </t>
  </si>
  <si>
    <t>Ship north by station close FY23</t>
  </si>
  <si>
    <t>Misc. science equipment</t>
  </si>
  <si>
    <t>Scientific and test equipment</t>
  </si>
  <si>
    <t>Ship north by station close FY24</t>
  </si>
  <si>
    <t>1.3-1.6</t>
  </si>
  <si>
    <t>Drill hose</t>
  </si>
  <si>
    <r>
      <t xml:space="preserve">Must overwinter in McM - </t>
    </r>
    <r>
      <rPr>
        <sz val="14"/>
        <color rgb="FFFF0000"/>
        <rFont val="Calibri"/>
        <family val="2"/>
        <scheme val="minor"/>
      </rPr>
      <t xml:space="preserve">DNDF </t>
    </r>
  </si>
  <si>
    <t xml:space="preserve">13 hose spools: 352 cf / 4800 lbs each </t>
  </si>
  <si>
    <t>Ship north by station close FY25</t>
  </si>
  <si>
    <t xml:space="preserve">Tools and equipment </t>
  </si>
  <si>
    <t xml:space="preserve">Retrograde tools and equipment </t>
  </si>
  <si>
    <t>Loan for one season only - Expedite return to IDP</t>
  </si>
  <si>
    <t xml:space="preserve">IDP supplied logging winch </t>
  </si>
  <si>
    <t>Ship north by station close FY25 with CONUS arrival by April 1, 2025</t>
  </si>
  <si>
    <r>
      <t xml:space="preserve">Loan for one season only - Expedite return to IDP - </t>
    </r>
    <r>
      <rPr>
        <sz val="14"/>
        <color rgb="FFFF0000"/>
        <rFont val="Calibri (Body)"/>
      </rPr>
      <t>DNF</t>
    </r>
  </si>
  <si>
    <t>IDP supplied logging winch control box</t>
  </si>
  <si>
    <t>Drill heads</t>
  </si>
  <si>
    <t>3 Drill heads</t>
  </si>
  <si>
    <t>Spare mDOMs</t>
  </si>
  <si>
    <t>3 pallets</t>
  </si>
  <si>
    <t>21 mDOMs (3 pallets)</t>
  </si>
  <si>
    <t>Spare D-Eggs pallet 1</t>
  </si>
  <si>
    <t>1 pallet</t>
  </si>
  <si>
    <t>8 Spare D-Eggs</t>
  </si>
  <si>
    <t>Spare D-Eggs pallet 2</t>
  </si>
  <si>
    <t>12 Spare D-Eggs</t>
  </si>
  <si>
    <r>
      <t xml:space="preserve">Date of  </t>
    </r>
    <r>
      <rPr>
        <b/>
        <i/>
        <u/>
        <sz val="12"/>
        <color theme="1"/>
        <rFont val="Calibri (Body)"/>
      </rPr>
      <t>actuaL</t>
    </r>
    <r>
      <rPr>
        <b/>
        <u/>
        <sz val="12"/>
        <color theme="1"/>
        <rFont val="Calibri"/>
        <family val="2"/>
        <scheme val="minor"/>
      </rPr>
      <t xml:space="preserve"> or expected  [from schedule]
completion </t>
    </r>
  </si>
  <si>
    <t>Expected Route: 
PTH - MCM or CHC</t>
  </si>
  <si>
    <t>Recommended Intercontinental Shipping Date (FY) [CALCULATED]</t>
  </si>
  <si>
    <t>Expected Route: 
CHC - MCM [CALCULATED]</t>
  </si>
  <si>
    <r>
      <t xml:space="preserve">Date Item expected or </t>
    </r>
    <r>
      <rPr>
        <b/>
        <i/>
        <u/>
        <sz val="12"/>
        <color theme="1"/>
        <rFont val="Calibri"/>
        <family val="2"/>
        <scheme val="minor"/>
      </rPr>
      <t>arrived</t>
    </r>
    <r>
      <rPr>
        <b/>
        <u/>
        <sz val="12"/>
        <color theme="1"/>
        <rFont val="Calibri"/>
        <family val="2"/>
        <scheme val="minor"/>
      </rPr>
      <t xml:space="preserve"> to MCM [INPUT]</t>
    </r>
  </si>
  <si>
    <r>
      <t>Ship by date or</t>
    </r>
    <r>
      <rPr>
        <b/>
        <i/>
        <u/>
        <sz val="12"/>
        <color theme="1"/>
        <rFont val="Calibri"/>
        <family val="2"/>
        <scheme val="minor"/>
      </rPr>
      <t xml:space="preserve"> actual </t>
    </r>
    <r>
      <rPr>
        <b/>
        <i/>
        <u/>
        <sz val="12"/>
        <color theme="1"/>
        <rFont val="Calibri (Body)"/>
      </rPr>
      <t>shipment date</t>
    </r>
    <r>
      <rPr>
        <b/>
        <i/>
        <u/>
        <sz val="12"/>
        <color theme="1"/>
        <rFont val="Calibri"/>
        <family val="2"/>
        <scheme val="minor"/>
      </rPr>
      <t xml:space="preserve"> </t>
    </r>
  </si>
  <si>
    <t xml:space="preserve">SHIPMENT FLOAT: Time between completion and 
ship-by-date to USAP site </t>
  </si>
  <si>
    <t>Total Time Between Ship-By-Date and Latest Arrival Date at NPX [days]</t>
  </si>
  <si>
    <t>Delta?</t>
  </si>
  <si>
    <t>ARA Drill System Components - Crate #1</t>
  </si>
  <si>
    <t>Main (downhole) load members 87-93 [placeholder, may not be required]</t>
  </si>
  <si>
    <t>Load member cable reel [placeholder, may not be required]</t>
  </si>
  <si>
    <r>
      <t xml:space="preserve">Scientific and test equipment - </t>
    </r>
    <r>
      <rPr>
        <sz val="12"/>
        <color rgb="FFFF0000"/>
        <rFont val="Calibri (Body)"/>
      </rPr>
      <t>Do Not Freeze</t>
    </r>
    <r>
      <rPr>
        <sz val="12"/>
        <rFont val="Calibri"/>
        <family val="2"/>
        <scheme val="minor"/>
      </rPr>
      <t xml:space="preserve"> [science supplies for FS3]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</si>
</sst>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yyyy\-mm\-dd;@"/>
    <numFmt numFmtId="165" formatCode="#,##0.0"/>
    <numFmt numFmtId="166" formatCode="m/d/yyyy;@"/>
    <numFmt numFmtId="167" formatCode="0.0%"/>
    <numFmt numFmtId="168" formatCode="_(* #,##0_);_(* \(#,##0\);_(* &quot;-&quot;??_);_(@_)"/>
    <numFmt numFmtId="169" formatCode="0.0"/>
  </numFmts>
  <fonts count="5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rgb="FF1D1C1D"/>
      <name val="Calibri"/>
      <family val="2"/>
      <scheme val="minor"/>
    </font>
    <font>
      <i/>
      <sz val="12"/>
      <name val="Calibri"/>
      <family val="2"/>
      <scheme val="minor"/>
    </font>
    <font>
      <b/>
      <sz val="9"/>
      <color rgb="FF000000"/>
      <name val="Tahoma"/>
      <family val="2"/>
    </font>
    <font>
      <sz val="12"/>
      <color rgb="FFFF0000"/>
      <name val="Calibri (Body)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FF0000"/>
      <name val="Calibri (Body)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i/>
      <sz val="12"/>
      <color rgb="FF00B050"/>
      <name val="Calibri"/>
      <family val="2"/>
      <scheme val="minor"/>
    </font>
    <font>
      <b/>
      <i/>
      <sz val="12"/>
      <color rgb="FF00B050"/>
      <name val="Calibri (Body)"/>
    </font>
    <font>
      <b/>
      <sz val="11"/>
      <color theme="1" tint="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theme="1"/>
      <name val="Calibri (Body)"/>
    </font>
    <font>
      <i/>
      <sz val="14"/>
      <color rgb="FF00B050"/>
      <name val="Calibri"/>
      <family val="2"/>
      <scheme val="minor"/>
    </font>
    <font>
      <i/>
      <sz val="14"/>
      <color theme="1"/>
      <name val="Calibri"/>
      <family val="2"/>
      <scheme val="minor"/>
    </font>
    <font>
      <i/>
      <sz val="11"/>
      <color rgb="FF00B050"/>
      <name val="Calibri"/>
      <family val="2"/>
      <scheme val="minor"/>
    </font>
    <font>
      <sz val="12"/>
      <color theme="4" tint="-0.249977111117893"/>
      <name val="Calibri"/>
      <family val="2"/>
      <scheme val="minor"/>
    </font>
    <font>
      <sz val="12"/>
      <color theme="1"/>
      <name val="Calibri (Body)"/>
    </font>
    <font>
      <sz val="12"/>
      <name val="Calibri (Body)"/>
    </font>
    <font>
      <b/>
      <sz val="12"/>
      <color rgb="FF000000"/>
      <name val="Calibri (Body)"/>
    </font>
    <font>
      <sz val="12"/>
      <color rgb="FF00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u/>
      <sz val="12"/>
      <color theme="1"/>
      <name val="Calibri (Body)"/>
    </font>
    <font>
      <b/>
      <i/>
      <u/>
      <sz val="12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F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/>
        <bgColor rgb="FF000000"/>
      </patternFill>
    </fill>
    <fill>
      <patternFill patternType="solid">
        <fgColor rgb="FF7A81FF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theme="1"/>
      </left>
      <right style="thin">
        <color rgb="FF000000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 style="thin">
        <color rgb="FF000000"/>
      </right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 style="thin">
        <color rgb="FF000000"/>
      </right>
      <top/>
      <bottom style="medium">
        <color rgb="FF000000"/>
      </bottom>
      <diagonal/>
    </border>
    <border>
      <left style="medium">
        <color theme="1"/>
      </left>
      <right style="thin">
        <color rgb="FF000000"/>
      </right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/>
      <right/>
      <top style="thin">
        <color theme="1"/>
      </top>
      <bottom/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indexed="64"/>
      </right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thin">
        <color indexed="64"/>
      </bottom>
      <diagonal/>
    </border>
    <border>
      <left style="thin">
        <color theme="1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thin">
        <color rgb="FF000000"/>
      </bottom>
      <diagonal/>
    </border>
    <border>
      <left/>
      <right style="medium">
        <color theme="1"/>
      </right>
      <top style="medium">
        <color theme="1"/>
      </top>
      <bottom style="thin">
        <color rgb="FF000000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/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rgb="FFFFFF00"/>
      </left>
      <right style="medium">
        <color rgb="FFFFFF00"/>
      </right>
      <top style="medium">
        <color rgb="FFFFFF00"/>
      </top>
      <bottom style="medium">
        <color rgb="FFFFFF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medium">
        <color theme="1"/>
      </bottom>
      <diagonal/>
    </border>
    <border>
      <left/>
      <right style="medium">
        <color theme="1"/>
      </right>
      <top/>
      <bottom style="medium">
        <color rgb="FF000000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 style="medium">
        <color indexed="64"/>
      </top>
      <bottom/>
      <diagonal/>
    </border>
    <border>
      <left style="thin">
        <color theme="1"/>
      </left>
      <right/>
      <top/>
      <bottom style="medium">
        <color indexed="64"/>
      </bottom>
      <diagonal/>
    </border>
  </borders>
  <cellStyleXfs count="5">
    <xf numFmtId="0" fontId="0" fillId="0" borderId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9" fontId="26" fillId="0" borderId="0" applyFont="0" applyFill="0" applyBorder="0" applyAlignment="0" applyProtection="0"/>
    <xf numFmtId="43" fontId="26" fillId="0" borderId="0" applyFont="0" applyFill="0" applyBorder="0" applyAlignment="0" applyProtection="0"/>
  </cellStyleXfs>
  <cellXfs count="880">
    <xf numFmtId="0" fontId="0" fillId="0" borderId="0" xfId="0"/>
    <xf numFmtId="0" fontId="6" fillId="3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3" fontId="6" fillId="0" borderId="1" xfId="0" applyNumberFormat="1" applyFont="1" applyBorder="1" applyAlignment="1">
      <alignment horizontal="center" vertical="center" wrapText="1" shrinkToFit="1"/>
    </xf>
    <xf numFmtId="3" fontId="6" fillId="0" borderId="1" xfId="0" applyNumberFormat="1" applyFont="1" applyBorder="1" applyAlignment="1">
      <alignment horizontal="center" vertical="center"/>
    </xf>
    <xf numFmtId="3" fontId="6" fillId="0" borderId="1" xfId="2" applyNumberFormat="1" applyFont="1" applyFill="1" applyBorder="1" applyAlignment="1">
      <alignment horizontal="center" vertical="center"/>
    </xf>
    <xf numFmtId="3" fontId="6" fillId="3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 shrinkToFit="1"/>
    </xf>
    <xf numFmtId="0" fontId="0" fillId="3" borderId="0" xfId="0" applyFill="1" applyAlignment="1">
      <alignment horizontal="center" vertical="center"/>
    </xf>
    <xf numFmtId="0" fontId="6" fillId="0" borderId="1" xfId="0" applyFont="1" applyBorder="1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left" vertical="center" wrapText="1" shrinkToFit="1"/>
    </xf>
    <xf numFmtId="0" fontId="6" fillId="0" borderId="1" xfId="0" applyFont="1" applyBorder="1" applyAlignment="1">
      <alignment horizontal="left" vertical="center"/>
    </xf>
    <xf numFmtId="0" fontId="6" fillId="0" borderId="1" xfId="2" applyFont="1" applyFill="1" applyBorder="1" applyAlignment="1">
      <alignment horizontal="left" vertical="center" wrapText="1"/>
    </xf>
    <xf numFmtId="0" fontId="6" fillId="3" borderId="1" xfId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3" fontId="6" fillId="3" borderId="1" xfId="0" applyNumberFormat="1" applyFont="1" applyFill="1" applyBorder="1" applyAlignment="1">
      <alignment horizontal="center" vertical="center" wrapText="1" shrinkToFit="1"/>
    </xf>
    <xf numFmtId="3" fontId="6" fillId="0" borderId="1" xfId="0" applyNumberFormat="1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 shrinkToFit="1"/>
    </xf>
    <xf numFmtId="0" fontId="1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5" fillId="2" borderId="1" xfId="0" applyFont="1" applyFill="1" applyBorder="1" applyAlignment="1">
      <alignment horizontal="left" vertical="center" wrapText="1" shrinkToFit="1"/>
    </xf>
    <xf numFmtId="0" fontId="7" fillId="2" borderId="1" xfId="0" applyFont="1" applyFill="1" applyBorder="1" applyAlignment="1">
      <alignment horizontal="left" vertical="center" wrapText="1" shrinkToFit="1"/>
    </xf>
    <xf numFmtId="0" fontId="5" fillId="7" borderId="1" xfId="0" applyFont="1" applyFill="1" applyBorder="1" applyAlignment="1">
      <alignment horizontal="center" vertical="center" wrapText="1" shrinkToFit="1"/>
    </xf>
    <xf numFmtId="0" fontId="5" fillId="8" borderId="1" xfId="0" applyFont="1" applyFill="1" applyBorder="1" applyAlignment="1">
      <alignment horizontal="center" vertical="center" wrapText="1" shrinkToFit="1"/>
    </xf>
    <xf numFmtId="3" fontId="6" fillId="3" borderId="1" xfId="1" applyNumberFormat="1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 wrapText="1"/>
    </xf>
    <xf numFmtId="3" fontId="6" fillId="3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5" fillId="6" borderId="1" xfId="0" applyFont="1" applyFill="1" applyBorder="1" applyAlignment="1">
      <alignment horizontal="left" vertical="center" wrapText="1"/>
    </xf>
    <xf numFmtId="3" fontId="7" fillId="6" borderId="1" xfId="0" applyNumberFormat="1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 wrapText="1" shrinkToFit="1"/>
    </xf>
    <xf numFmtId="165" fontId="7" fillId="6" borderId="1" xfId="0" applyNumberFormat="1" applyFont="1" applyFill="1" applyBorder="1" applyAlignment="1">
      <alignment horizontal="center" vertical="center" wrapText="1"/>
    </xf>
    <xf numFmtId="3" fontId="5" fillId="6" borderId="1" xfId="0" applyNumberFormat="1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 wrapText="1"/>
    </xf>
    <xf numFmtId="0" fontId="6" fillId="11" borderId="1" xfId="0" applyFont="1" applyFill="1" applyBorder="1" applyAlignment="1">
      <alignment horizontal="center" vertical="center" wrapText="1" shrinkToFit="1"/>
    </xf>
    <xf numFmtId="0" fontId="6" fillId="11" borderId="1" xfId="1" applyFont="1" applyFill="1" applyBorder="1" applyAlignment="1">
      <alignment horizontal="center" vertical="center" wrapText="1"/>
    </xf>
    <xf numFmtId="165" fontId="13" fillId="2" borderId="1" xfId="0" applyNumberFormat="1" applyFont="1" applyFill="1" applyBorder="1" applyAlignment="1">
      <alignment horizontal="center" vertical="center" wrapText="1" shrinkToFit="1"/>
    </xf>
    <xf numFmtId="3" fontId="13" fillId="10" borderId="1" xfId="0" applyNumberFormat="1" applyFont="1" applyFill="1" applyBorder="1" applyAlignment="1">
      <alignment horizontal="center" vertical="center" wrapText="1" shrinkToFit="1"/>
    </xf>
    <xf numFmtId="3" fontId="12" fillId="2" borderId="1" xfId="0" applyNumberFormat="1" applyFont="1" applyFill="1" applyBorder="1" applyAlignment="1">
      <alignment horizontal="center" vertical="center" wrapText="1" shrinkToFit="1"/>
    </xf>
    <xf numFmtId="164" fontId="12" fillId="2" borderId="1" xfId="0" applyNumberFormat="1" applyFont="1" applyFill="1" applyBorder="1" applyAlignment="1">
      <alignment horizontal="center" vertical="center" wrapText="1" shrinkToFit="1"/>
    </xf>
    <xf numFmtId="0" fontId="12" fillId="2" borderId="1" xfId="0" applyFont="1" applyFill="1" applyBorder="1" applyAlignment="1">
      <alignment horizontal="center" vertical="center" wrapText="1" shrinkToFit="1"/>
    </xf>
    <xf numFmtId="0" fontId="6" fillId="11" borderId="1" xfId="2" applyFont="1" applyFill="1" applyBorder="1" applyAlignment="1">
      <alignment horizontal="center" vertical="center" wrapText="1"/>
    </xf>
    <xf numFmtId="3" fontId="6" fillId="0" borderId="1" xfId="2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166" fontId="12" fillId="2" borderId="1" xfId="0" applyNumberFormat="1" applyFont="1" applyFill="1" applyBorder="1" applyAlignment="1">
      <alignment horizontal="center" vertical="center" wrapText="1" shrinkToFit="1"/>
    </xf>
    <xf numFmtId="166" fontId="6" fillId="0" borderId="1" xfId="0" applyNumberFormat="1" applyFont="1" applyBorder="1" applyAlignment="1">
      <alignment horizontal="center" vertical="center" wrapText="1" shrinkToFit="1"/>
    </xf>
    <xf numFmtId="166" fontId="0" fillId="0" borderId="0" xfId="0" applyNumberForma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66" fontId="5" fillId="2" borderId="1" xfId="0" applyNumberFormat="1" applyFont="1" applyFill="1" applyBorder="1" applyAlignment="1">
      <alignment horizontal="center" vertical="center" wrapText="1" shrinkToFit="1"/>
    </xf>
    <xf numFmtId="166" fontId="20" fillId="3" borderId="1" xfId="0" applyNumberFormat="1" applyFont="1" applyFill="1" applyBorder="1" applyAlignment="1">
      <alignment horizontal="center" vertical="center" wrapText="1" shrinkToFit="1"/>
    </xf>
    <xf numFmtId="2" fontId="0" fillId="0" borderId="0" xfId="0" applyNumberFormat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6" fillId="0" borderId="1" xfId="1" applyNumberFormat="1" applyFont="1" applyFill="1" applyBorder="1" applyAlignment="1">
      <alignment horizontal="center" vertical="center" wrapText="1"/>
    </xf>
    <xf numFmtId="166" fontId="5" fillId="7" borderId="1" xfId="0" applyNumberFormat="1" applyFont="1" applyFill="1" applyBorder="1" applyAlignment="1">
      <alignment horizontal="center" vertical="center" wrapText="1" shrinkToFit="1"/>
    </xf>
    <xf numFmtId="166" fontId="16" fillId="7" borderId="1" xfId="0" applyNumberFormat="1" applyFont="1" applyFill="1" applyBorder="1" applyAlignment="1">
      <alignment horizontal="center" vertical="center" wrapText="1" shrinkToFit="1"/>
    </xf>
    <xf numFmtId="166" fontId="6" fillId="7" borderId="1" xfId="0" applyNumberFormat="1" applyFont="1" applyFill="1" applyBorder="1" applyAlignment="1">
      <alignment horizontal="center" vertical="center" wrapText="1" shrinkToFit="1"/>
    </xf>
    <xf numFmtId="164" fontId="6" fillId="7" borderId="1" xfId="0" applyNumberFormat="1" applyFont="1" applyFill="1" applyBorder="1" applyAlignment="1">
      <alignment horizontal="center" vertical="center" wrapText="1" shrinkToFit="1"/>
    </xf>
    <xf numFmtId="0" fontId="6" fillId="7" borderId="1" xfId="0" applyFont="1" applyFill="1" applyBorder="1" applyAlignment="1">
      <alignment horizontal="center" vertical="center" wrapText="1" shrinkToFit="1"/>
    </xf>
    <xf numFmtId="14" fontId="21" fillId="0" borderId="0" xfId="0" applyNumberFormat="1" applyFont="1"/>
    <xf numFmtId="0" fontId="0" fillId="0" borderId="1" xfId="0" applyBorder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3" fontId="6" fillId="0" borderId="1" xfId="1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left" vertical="center" wrapText="1"/>
    </xf>
    <xf numFmtId="0" fontId="13" fillId="12" borderId="10" xfId="0" applyFont="1" applyFill="1" applyBorder="1" applyAlignment="1">
      <alignment horizontal="left" vertical="center"/>
    </xf>
    <xf numFmtId="0" fontId="13" fillId="12" borderId="10" xfId="0" applyFont="1" applyFill="1" applyBorder="1" applyAlignment="1">
      <alignment horizontal="left" vertical="center" wrapText="1"/>
    </xf>
    <xf numFmtId="0" fontId="13" fillId="12" borderId="11" xfId="0" applyFont="1" applyFill="1" applyBorder="1" applyAlignment="1">
      <alignment horizontal="left" vertical="center" wrapText="1"/>
    </xf>
    <xf numFmtId="1" fontId="13" fillId="12" borderId="10" xfId="0" applyNumberFormat="1" applyFont="1" applyFill="1" applyBorder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23" fillId="0" borderId="12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 wrapText="1"/>
    </xf>
    <xf numFmtId="1" fontId="22" fillId="0" borderId="12" xfId="0" applyNumberFormat="1" applyFont="1" applyBorder="1" applyAlignment="1">
      <alignment horizontal="left" vertical="center"/>
    </xf>
    <xf numFmtId="1" fontId="22" fillId="0" borderId="1" xfId="0" applyNumberFormat="1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1" fontId="12" fillId="0" borderId="0" xfId="0" applyNumberFormat="1" applyFont="1" applyAlignment="1">
      <alignment horizontal="left" vertical="center"/>
    </xf>
    <xf numFmtId="166" fontId="22" fillId="0" borderId="0" xfId="0" applyNumberFormat="1" applyFont="1" applyAlignment="1">
      <alignment horizontal="left" vertical="center"/>
    </xf>
    <xf numFmtId="0" fontId="22" fillId="3" borderId="0" xfId="0" applyFont="1" applyFill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/>
    </xf>
    <xf numFmtId="165" fontId="13" fillId="14" borderId="1" xfId="0" applyNumberFormat="1" applyFont="1" applyFill="1" applyBorder="1" applyAlignment="1">
      <alignment horizontal="center" vertical="center" wrapText="1" shrinkToFit="1"/>
    </xf>
    <xf numFmtId="49" fontId="23" fillId="0" borderId="1" xfId="0" applyNumberFormat="1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27" fillId="0" borderId="0" xfId="0" applyFont="1"/>
    <xf numFmtId="3" fontId="0" fillId="0" borderId="0" xfId="0" applyNumberFormat="1"/>
    <xf numFmtId="167" fontId="0" fillId="0" borderId="0" xfId="3" applyNumberFormat="1" applyFont="1" applyBorder="1" applyAlignment="1">
      <alignment horizontal="center" vertical="center"/>
    </xf>
    <xf numFmtId="10" fontId="0" fillId="0" borderId="0" xfId="3" applyNumberFormat="1" applyFont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 vertical="center"/>
    </xf>
    <xf numFmtId="9" fontId="0" fillId="0" borderId="0" xfId="3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3" fontId="0" fillId="0" borderId="0" xfId="0" applyNumberFormat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/>
    <xf numFmtId="0" fontId="4" fillId="0" borderId="17" xfId="0" applyFont="1" applyBorder="1" applyAlignment="1">
      <alignment wrapText="1"/>
    </xf>
    <xf numFmtId="0" fontId="4" fillId="0" borderId="1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/>
    <xf numFmtId="0" fontId="0" fillId="0" borderId="17" xfId="0" applyBorder="1"/>
    <xf numFmtId="0" fontId="0" fillId="0" borderId="18" xfId="0" applyBorder="1"/>
    <xf numFmtId="3" fontId="0" fillId="0" borderId="16" xfId="0" applyNumberFormat="1" applyBorder="1"/>
    <xf numFmtId="3" fontId="0" fillId="0" borderId="13" xfId="0" applyNumberFormat="1" applyBorder="1"/>
    <xf numFmtId="0" fontId="4" fillId="15" borderId="28" xfId="0" applyFont="1" applyFill="1" applyBorder="1" applyAlignment="1">
      <alignment horizontal="center" vertical="center" wrapText="1"/>
    </xf>
    <xf numFmtId="3" fontId="4" fillId="15" borderId="25" xfId="0" applyNumberFormat="1" applyFont="1" applyFill="1" applyBorder="1" applyAlignment="1">
      <alignment horizontal="center" vertical="center" wrapText="1"/>
    </xf>
    <xf numFmtId="0" fontId="4" fillId="15" borderId="25" xfId="0" applyFont="1" applyFill="1" applyBorder="1" applyAlignment="1">
      <alignment horizontal="center" vertical="center" wrapText="1"/>
    </xf>
    <xf numFmtId="0" fontId="4" fillId="15" borderId="26" xfId="0" applyFont="1" applyFill="1" applyBorder="1" applyAlignment="1">
      <alignment horizontal="center" vertical="center" wrapText="1"/>
    </xf>
    <xf numFmtId="3" fontId="4" fillId="16" borderId="25" xfId="0" applyNumberFormat="1" applyFont="1" applyFill="1" applyBorder="1" applyAlignment="1">
      <alignment horizontal="center" vertical="center" wrapText="1"/>
    </xf>
    <xf numFmtId="0" fontId="4" fillId="16" borderId="25" xfId="0" applyFont="1" applyFill="1" applyBorder="1" applyAlignment="1">
      <alignment horizontal="center" vertical="center" wrapText="1"/>
    </xf>
    <xf numFmtId="0" fontId="4" fillId="16" borderId="26" xfId="0" applyFont="1" applyFill="1" applyBorder="1" applyAlignment="1">
      <alignment horizontal="center" vertical="center" wrapText="1"/>
    </xf>
    <xf numFmtId="0" fontId="4" fillId="15" borderId="31" xfId="0" applyFont="1" applyFill="1" applyBorder="1" applyAlignment="1">
      <alignment horizontal="center" vertical="center" wrapText="1"/>
    </xf>
    <xf numFmtId="3" fontId="4" fillId="15" borderId="31" xfId="0" applyNumberFormat="1" applyFont="1" applyFill="1" applyBorder="1" applyAlignment="1">
      <alignment horizontal="center" vertical="center" wrapText="1"/>
    </xf>
    <xf numFmtId="0" fontId="4" fillId="15" borderId="32" xfId="0" applyFont="1" applyFill="1" applyBorder="1" applyAlignment="1">
      <alignment horizontal="center" vertical="center" wrapText="1"/>
    </xf>
    <xf numFmtId="0" fontId="0" fillId="0" borderId="33" xfId="0" applyBorder="1"/>
    <xf numFmtId="0" fontId="0" fillId="0" borderId="34" xfId="0" applyBorder="1"/>
    <xf numFmtId="167" fontId="0" fillId="0" borderId="0" xfId="0" applyNumberFormat="1" applyAlignment="1">
      <alignment horizontal="center"/>
    </xf>
    <xf numFmtId="167" fontId="0" fillId="0" borderId="20" xfId="0" applyNumberFormat="1" applyBorder="1" applyAlignment="1">
      <alignment horizontal="center"/>
    </xf>
    <xf numFmtId="3" fontId="0" fillId="0" borderId="36" xfId="0" applyNumberFormat="1" applyBorder="1" applyAlignment="1">
      <alignment horizontal="center"/>
    </xf>
    <xf numFmtId="167" fontId="0" fillId="0" borderId="36" xfId="0" applyNumberFormat="1" applyBorder="1" applyAlignment="1">
      <alignment horizontal="center"/>
    </xf>
    <xf numFmtId="167" fontId="0" fillId="0" borderId="37" xfId="0" applyNumberFormat="1" applyBorder="1" applyAlignment="1">
      <alignment horizontal="center"/>
    </xf>
    <xf numFmtId="3" fontId="0" fillId="0" borderId="39" xfId="0" applyNumberFormat="1" applyBorder="1" applyAlignment="1">
      <alignment horizontal="center"/>
    </xf>
    <xf numFmtId="167" fontId="0" fillId="0" borderId="39" xfId="0" applyNumberFormat="1" applyBorder="1" applyAlignment="1">
      <alignment horizontal="center"/>
    </xf>
    <xf numFmtId="167" fontId="0" fillId="0" borderId="40" xfId="0" applyNumberFormat="1" applyBorder="1" applyAlignment="1">
      <alignment horizontal="center"/>
    </xf>
    <xf numFmtId="0" fontId="4" fillId="0" borderId="41" xfId="0" applyFont="1" applyBorder="1" applyAlignment="1">
      <alignment horizontal="center" vertical="center"/>
    </xf>
    <xf numFmtId="167" fontId="0" fillId="0" borderId="45" xfId="3" applyNumberFormat="1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3" fontId="0" fillId="0" borderId="48" xfId="0" applyNumberFormat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3" fontId="0" fillId="0" borderId="50" xfId="0" applyNumberFormat="1" applyBorder="1" applyAlignment="1">
      <alignment horizontal="center" vertical="center"/>
    </xf>
    <xf numFmtId="0" fontId="4" fillId="17" borderId="42" xfId="0" applyFont="1" applyFill="1" applyBorder="1" applyAlignment="1">
      <alignment horizontal="center" vertical="center" wrapText="1"/>
    </xf>
    <xf numFmtId="0" fontId="4" fillId="17" borderId="43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10" fontId="0" fillId="0" borderId="45" xfId="3" applyNumberFormat="1" applyFont="1" applyBorder="1" applyAlignment="1">
      <alignment horizontal="center" vertical="center"/>
    </xf>
    <xf numFmtId="0" fontId="4" fillId="0" borderId="54" xfId="0" applyFont="1" applyBorder="1" applyAlignment="1">
      <alignment horizontal="center" vertical="center" wrapText="1"/>
    </xf>
    <xf numFmtId="0" fontId="0" fillId="0" borderId="55" xfId="0" applyBorder="1" applyAlignment="1">
      <alignment horizontal="center" vertical="center"/>
    </xf>
    <xf numFmtId="3" fontId="0" fillId="0" borderId="55" xfId="0" applyNumberFormat="1" applyBorder="1" applyAlignment="1">
      <alignment horizontal="center" vertical="center"/>
    </xf>
    <xf numFmtId="9" fontId="0" fillId="0" borderId="55" xfId="3" applyFont="1" applyBorder="1" applyAlignment="1">
      <alignment horizontal="center" vertical="center"/>
    </xf>
    <xf numFmtId="9" fontId="0" fillId="0" borderId="56" xfId="3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17" borderId="58" xfId="0" applyFont="1" applyFill="1" applyBorder="1" applyAlignment="1">
      <alignment horizontal="center" vertical="center" wrapText="1"/>
    </xf>
    <xf numFmtId="3" fontId="4" fillId="17" borderId="59" xfId="0" applyNumberFormat="1" applyFont="1" applyFill="1" applyBorder="1" applyAlignment="1">
      <alignment horizontal="center" vertical="center" wrapText="1"/>
    </xf>
    <xf numFmtId="0" fontId="4" fillId="18" borderId="52" xfId="0" applyFont="1" applyFill="1" applyBorder="1" applyAlignment="1">
      <alignment horizontal="center" vertical="center" wrapText="1"/>
    </xf>
    <xf numFmtId="0" fontId="0" fillId="18" borderId="50" xfId="0" applyFill="1" applyBorder="1" applyAlignment="1">
      <alignment horizontal="center" vertical="center"/>
    </xf>
    <xf numFmtId="3" fontId="0" fillId="18" borderId="50" xfId="0" applyNumberFormat="1" applyFill="1" applyBorder="1" applyAlignment="1">
      <alignment horizontal="center" vertical="center"/>
    </xf>
    <xf numFmtId="167" fontId="0" fillId="18" borderId="50" xfId="3" applyNumberFormat="1" applyFont="1" applyFill="1" applyBorder="1" applyAlignment="1">
      <alignment horizontal="center" vertical="center"/>
    </xf>
    <xf numFmtId="167" fontId="0" fillId="18" borderId="53" xfId="3" applyNumberFormat="1" applyFont="1" applyFill="1" applyBorder="1" applyAlignment="1">
      <alignment horizontal="center" vertical="center"/>
    </xf>
    <xf numFmtId="0" fontId="4" fillId="18" borderId="51" xfId="0" applyFont="1" applyFill="1" applyBorder="1" applyAlignment="1">
      <alignment horizontal="center" vertical="center" wrapText="1"/>
    </xf>
    <xf numFmtId="0" fontId="0" fillId="18" borderId="0" xfId="0" applyFill="1" applyAlignment="1">
      <alignment horizontal="center" vertical="center" wrapText="1"/>
    </xf>
    <xf numFmtId="3" fontId="0" fillId="18" borderId="0" xfId="0" applyNumberFormat="1" applyFill="1" applyAlignment="1">
      <alignment horizontal="center" vertical="center"/>
    </xf>
    <xf numFmtId="167" fontId="0" fillId="18" borderId="0" xfId="3" applyNumberFormat="1" applyFont="1" applyFill="1" applyBorder="1" applyAlignment="1">
      <alignment horizontal="center" vertical="center"/>
    </xf>
    <xf numFmtId="167" fontId="0" fillId="18" borderId="45" xfId="3" applyNumberFormat="1" applyFont="1" applyFill="1" applyBorder="1" applyAlignment="1">
      <alignment horizontal="center" vertical="center"/>
    </xf>
    <xf numFmtId="3" fontId="0" fillId="18" borderId="0" xfId="0" applyNumberFormat="1" applyFill="1" applyAlignment="1">
      <alignment horizontal="center"/>
    </xf>
    <xf numFmtId="0" fontId="4" fillId="0" borderId="60" xfId="0" applyFont="1" applyBorder="1" applyAlignment="1">
      <alignment horizontal="center" vertical="center" wrapText="1"/>
    </xf>
    <xf numFmtId="0" fontId="0" fillId="0" borderId="61" xfId="0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0" fontId="0" fillId="0" borderId="63" xfId="0" applyBorder="1" applyAlignment="1">
      <alignment horizontal="center" vertical="center"/>
    </xf>
    <xf numFmtId="3" fontId="0" fillId="0" borderId="63" xfId="0" applyNumberFormat="1" applyBorder="1" applyAlignment="1">
      <alignment horizontal="center" vertical="center"/>
    </xf>
    <xf numFmtId="167" fontId="0" fillId="0" borderId="63" xfId="3" applyNumberFormat="1" applyFont="1" applyBorder="1" applyAlignment="1">
      <alignment horizontal="center" vertical="center"/>
    </xf>
    <xf numFmtId="167" fontId="0" fillId="0" borderId="64" xfId="3" applyNumberFormat="1" applyFont="1" applyBorder="1" applyAlignment="1">
      <alignment horizontal="center" vertical="center"/>
    </xf>
    <xf numFmtId="0" fontId="0" fillId="18" borderId="34" xfId="0" applyFill="1" applyBorder="1"/>
    <xf numFmtId="167" fontId="0" fillId="18" borderId="0" xfId="0" applyNumberFormat="1" applyFill="1" applyAlignment="1">
      <alignment horizontal="center"/>
    </xf>
    <xf numFmtId="167" fontId="0" fillId="18" borderId="20" xfId="0" applyNumberFormat="1" applyFill="1" applyBorder="1" applyAlignment="1">
      <alignment horizontal="center"/>
    </xf>
    <xf numFmtId="0" fontId="0" fillId="0" borderId="35" xfId="0" applyBorder="1"/>
    <xf numFmtId="0" fontId="0" fillId="0" borderId="38" xfId="0" applyBorder="1"/>
    <xf numFmtId="0" fontId="4" fillId="15" borderId="65" xfId="0" applyFont="1" applyFill="1" applyBorder="1" applyAlignment="1">
      <alignment horizontal="center" vertical="center" wrapText="1"/>
    </xf>
    <xf numFmtId="3" fontId="4" fillId="15" borderId="65" xfId="0" applyNumberFormat="1" applyFont="1" applyFill="1" applyBorder="1" applyAlignment="1">
      <alignment horizontal="center" vertical="center" wrapText="1"/>
    </xf>
    <xf numFmtId="0" fontId="4" fillId="15" borderId="66" xfId="0" applyFont="1" applyFill="1" applyBorder="1" applyAlignment="1">
      <alignment horizontal="center" vertical="center" wrapText="1"/>
    </xf>
    <xf numFmtId="167" fontId="0" fillId="0" borderId="0" xfId="3" applyNumberFormat="1" applyFont="1" applyBorder="1"/>
    <xf numFmtId="167" fontId="0" fillId="0" borderId="45" xfId="3" applyNumberFormat="1" applyFont="1" applyBorder="1"/>
    <xf numFmtId="3" fontId="0" fillId="18" borderId="0" xfId="0" applyNumberFormat="1" applyFill="1"/>
    <xf numFmtId="167" fontId="0" fillId="18" borderId="0" xfId="3" applyNumberFormat="1" applyFont="1" applyFill="1" applyBorder="1"/>
    <xf numFmtId="167" fontId="0" fillId="18" borderId="45" xfId="3" applyNumberFormat="1" applyFont="1" applyFill="1" applyBorder="1"/>
    <xf numFmtId="0" fontId="0" fillId="0" borderId="67" xfId="0" applyBorder="1"/>
    <xf numFmtId="0" fontId="0" fillId="0" borderId="68" xfId="0" applyBorder="1"/>
    <xf numFmtId="0" fontId="0" fillId="18" borderId="68" xfId="0" applyFill="1" applyBorder="1"/>
    <xf numFmtId="0" fontId="0" fillId="0" borderId="69" xfId="0" applyBorder="1"/>
    <xf numFmtId="0" fontId="0" fillId="0" borderId="68" xfId="0" applyBorder="1" applyAlignment="1">
      <alignment wrapText="1"/>
    </xf>
    <xf numFmtId="0" fontId="0" fillId="18" borderId="69" xfId="0" applyFill="1" applyBorder="1"/>
    <xf numFmtId="3" fontId="0" fillId="18" borderId="50" xfId="0" applyNumberFormat="1" applyFill="1" applyBorder="1"/>
    <xf numFmtId="167" fontId="0" fillId="18" borderId="50" xfId="3" applyNumberFormat="1" applyFont="1" applyFill="1" applyBorder="1"/>
    <xf numFmtId="167" fontId="0" fillId="18" borderId="53" xfId="3" applyNumberFormat="1" applyFont="1" applyFill="1" applyBorder="1"/>
    <xf numFmtId="0" fontId="0" fillId="0" borderId="70" xfId="0" applyBorder="1"/>
    <xf numFmtId="3" fontId="0" fillId="0" borderId="71" xfId="0" applyNumberFormat="1" applyBorder="1"/>
    <xf numFmtId="167" fontId="0" fillId="0" borderId="71" xfId="3" applyNumberFormat="1" applyFont="1" applyBorder="1"/>
    <xf numFmtId="167" fontId="0" fillId="0" borderId="72" xfId="3" applyNumberFormat="1" applyFont="1" applyBorder="1"/>
    <xf numFmtId="0" fontId="0" fillId="0" borderId="44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167" fontId="0" fillId="0" borderId="0" xfId="3" applyNumberFormat="1" applyFont="1" applyBorder="1" applyAlignment="1">
      <alignment horizontal="center"/>
    </xf>
    <xf numFmtId="167" fontId="0" fillId="0" borderId="45" xfId="3" applyNumberFormat="1" applyFont="1" applyBorder="1" applyAlignment="1">
      <alignment horizontal="center"/>
    </xf>
    <xf numFmtId="3" fontId="0" fillId="0" borderId="71" xfId="0" applyNumberFormat="1" applyBorder="1" applyAlignment="1">
      <alignment horizontal="center"/>
    </xf>
    <xf numFmtId="167" fontId="0" fillId="0" borderId="71" xfId="3" applyNumberFormat="1" applyFont="1" applyBorder="1" applyAlignment="1">
      <alignment horizontal="center"/>
    </xf>
    <xf numFmtId="167" fontId="0" fillId="0" borderId="72" xfId="3" applyNumberFormat="1" applyFont="1" applyBorder="1" applyAlignment="1">
      <alignment horizontal="center"/>
    </xf>
    <xf numFmtId="0" fontId="0" fillId="0" borderId="73" xfId="0" applyBorder="1"/>
    <xf numFmtId="0" fontId="4" fillId="0" borderId="70" xfId="0" applyFont="1" applyBorder="1"/>
    <xf numFmtId="0" fontId="4" fillId="15" borderId="27" xfId="0" applyFont="1" applyFill="1" applyBorder="1" applyAlignment="1">
      <alignment horizontal="center" vertical="center"/>
    </xf>
    <xf numFmtId="0" fontId="0" fillId="19" borderId="0" xfId="0" applyFill="1"/>
    <xf numFmtId="3" fontId="0" fillId="19" borderId="0" xfId="0" applyNumberFormat="1" applyFill="1"/>
    <xf numFmtId="0" fontId="4" fillId="19" borderId="19" xfId="0" applyFont="1" applyFill="1" applyBorder="1" applyAlignment="1">
      <alignment horizontal="center" vertical="center"/>
    </xf>
    <xf numFmtId="3" fontId="0" fillId="19" borderId="0" xfId="0" applyNumberFormat="1" applyFill="1" applyAlignment="1">
      <alignment horizontal="center" vertical="center"/>
    </xf>
    <xf numFmtId="9" fontId="0" fillId="19" borderId="0" xfId="3" applyFont="1" applyFill="1" applyBorder="1" applyAlignment="1">
      <alignment horizontal="center" vertical="center"/>
    </xf>
    <xf numFmtId="9" fontId="0" fillId="19" borderId="20" xfId="3" applyFont="1" applyFill="1" applyBorder="1" applyAlignment="1">
      <alignment horizontal="center" vertical="center"/>
    </xf>
    <xf numFmtId="0" fontId="4" fillId="19" borderId="21" xfId="0" applyFont="1" applyFill="1" applyBorder="1" applyAlignment="1">
      <alignment horizontal="center" vertical="center"/>
    </xf>
    <xf numFmtId="3" fontId="0" fillId="19" borderId="23" xfId="0" applyNumberFormat="1" applyFill="1" applyBorder="1" applyAlignment="1">
      <alignment horizontal="center" vertical="center"/>
    </xf>
    <xf numFmtId="9" fontId="0" fillId="19" borderId="39" xfId="3" applyFont="1" applyFill="1" applyBorder="1" applyAlignment="1">
      <alignment horizontal="center" vertical="center"/>
    </xf>
    <xf numFmtId="3" fontId="0" fillId="19" borderId="39" xfId="0" applyNumberFormat="1" applyFill="1" applyBorder="1" applyAlignment="1">
      <alignment horizontal="center" vertical="center"/>
    </xf>
    <xf numFmtId="9" fontId="0" fillId="19" borderId="40" xfId="3" applyFont="1" applyFill="1" applyBorder="1" applyAlignment="1">
      <alignment horizontal="center" vertical="center"/>
    </xf>
    <xf numFmtId="3" fontId="0" fillId="19" borderId="30" xfId="0" applyNumberFormat="1" applyFill="1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2" fontId="0" fillId="0" borderId="0" xfId="4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5" fillId="6" borderId="0" xfId="0" applyNumberFormat="1" applyFont="1" applyFill="1" applyAlignment="1">
      <alignment horizontal="center" vertical="center"/>
    </xf>
    <xf numFmtId="3" fontId="5" fillId="6" borderId="0" xfId="0" applyNumberFormat="1" applyFont="1" applyFill="1" applyAlignment="1">
      <alignment horizontal="center" vertical="center" wrapText="1"/>
    </xf>
    <xf numFmtId="3" fontId="5" fillId="6" borderId="76" xfId="0" applyNumberFormat="1" applyFont="1" applyFill="1" applyBorder="1" applyAlignment="1">
      <alignment horizontal="center" vertical="center" wrapText="1"/>
    </xf>
    <xf numFmtId="0" fontId="0" fillId="0" borderId="77" xfId="0" applyBorder="1"/>
    <xf numFmtId="0" fontId="4" fillId="17" borderId="78" xfId="0" applyFont="1" applyFill="1" applyBorder="1" applyAlignment="1">
      <alignment horizontal="center" vertical="center" wrapText="1"/>
    </xf>
    <xf numFmtId="3" fontId="4" fillId="17" borderId="79" xfId="0" applyNumberFormat="1" applyFont="1" applyFill="1" applyBorder="1" applyAlignment="1">
      <alignment horizontal="center" vertical="center" wrapText="1"/>
    </xf>
    <xf numFmtId="0" fontId="4" fillId="17" borderId="79" xfId="0" applyFont="1" applyFill="1" applyBorder="1" applyAlignment="1">
      <alignment horizontal="center" vertical="center" wrapText="1"/>
    </xf>
    <xf numFmtId="0" fontId="4" fillId="17" borderId="80" xfId="0" applyFont="1" applyFill="1" applyBorder="1" applyAlignment="1">
      <alignment horizontal="center" vertical="center" wrapText="1"/>
    </xf>
    <xf numFmtId="0" fontId="4" fillId="0" borderId="81" xfId="0" applyFont="1" applyBorder="1" applyAlignment="1">
      <alignment horizontal="center" vertical="center" wrapText="1"/>
    </xf>
    <xf numFmtId="0" fontId="0" fillId="0" borderId="82" xfId="0" applyBorder="1" applyAlignment="1">
      <alignment horizontal="center"/>
    </xf>
    <xf numFmtId="3" fontId="0" fillId="0" borderId="82" xfId="0" applyNumberFormat="1" applyBorder="1" applyAlignment="1">
      <alignment horizontal="center"/>
    </xf>
    <xf numFmtId="9" fontId="0" fillId="0" borderId="82" xfId="3" applyFont="1" applyBorder="1" applyAlignment="1">
      <alignment horizontal="center"/>
    </xf>
    <xf numFmtId="9" fontId="0" fillId="0" borderId="83" xfId="3" applyFont="1" applyBorder="1" applyAlignment="1">
      <alignment horizontal="center"/>
    </xf>
    <xf numFmtId="166" fontId="29" fillId="0" borderId="1" xfId="0" applyNumberFormat="1" applyFont="1" applyBorder="1" applyAlignment="1">
      <alignment horizontal="center" vertical="center" wrapText="1" shrinkToFit="1"/>
    </xf>
    <xf numFmtId="166" fontId="28" fillId="0" borderId="1" xfId="0" applyNumberFormat="1" applyFont="1" applyBorder="1" applyAlignment="1">
      <alignment horizontal="center" vertical="center" wrapText="1" shrinkToFit="1"/>
    </xf>
    <xf numFmtId="3" fontId="4" fillId="0" borderId="0" xfId="0" applyNumberFormat="1" applyFont="1" applyAlignment="1">
      <alignment horizontal="center" vertical="center"/>
    </xf>
    <xf numFmtId="3" fontId="4" fillId="0" borderId="6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left" vertical="center"/>
    </xf>
    <xf numFmtId="3" fontId="4" fillId="0" borderId="3" xfId="0" applyNumberFormat="1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center" vertical="center"/>
    </xf>
    <xf numFmtId="0" fontId="31" fillId="19" borderId="19" xfId="0" applyFont="1" applyFill="1" applyBorder="1" applyAlignment="1">
      <alignment horizontal="center" vertical="center"/>
    </xf>
    <xf numFmtId="3" fontId="32" fillId="19" borderId="0" xfId="0" applyNumberFormat="1" applyFont="1" applyFill="1" applyAlignment="1">
      <alignment horizontal="center" vertical="center"/>
    </xf>
    <xf numFmtId="9" fontId="32" fillId="19" borderId="0" xfId="3" applyFont="1" applyFill="1" applyBorder="1" applyAlignment="1">
      <alignment horizontal="center" vertical="center"/>
    </xf>
    <xf numFmtId="0" fontId="31" fillId="19" borderId="74" xfId="0" applyFont="1" applyFill="1" applyBorder="1" applyAlignment="1">
      <alignment horizontal="center"/>
    </xf>
    <xf numFmtId="3" fontId="32" fillId="19" borderId="75" xfId="0" applyNumberFormat="1" applyFont="1" applyFill="1" applyBorder="1" applyAlignment="1">
      <alignment horizontal="center"/>
    </xf>
    <xf numFmtId="3" fontId="32" fillId="19" borderId="29" xfId="0" applyNumberFormat="1" applyFont="1" applyFill="1" applyBorder="1" applyAlignment="1">
      <alignment horizontal="center"/>
    </xf>
    <xf numFmtId="9" fontId="32" fillId="19" borderId="20" xfId="3" applyFont="1" applyFill="1" applyBorder="1" applyAlignment="1">
      <alignment horizontal="center" vertical="center"/>
    </xf>
    <xf numFmtId="9" fontId="32" fillId="19" borderId="23" xfId="0" applyNumberFormat="1" applyFont="1" applyFill="1" applyBorder="1" applyAlignment="1">
      <alignment horizontal="center" vertical="center"/>
    </xf>
    <xf numFmtId="3" fontId="32" fillId="19" borderId="23" xfId="0" applyNumberFormat="1" applyFont="1" applyFill="1" applyBorder="1" applyAlignment="1">
      <alignment horizontal="center" vertical="center"/>
    </xf>
    <xf numFmtId="9" fontId="32" fillId="19" borderId="24" xfId="0" applyNumberFormat="1" applyFont="1" applyFill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 vertical="center" wrapText="1" shrinkToFit="1"/>
    </xf>
    <xf numFmtId="166" fontId="33" fillId="2" borderId="1" xfId="0" applyNumberFormat="1" applyFont="1" applyFill="1" applyBorder="1" applyAlignment="1">
      <alignment horizontal="center" vertical="center" wrapText="1" shrinkToFit="1"/>
    </xf>
    <xf numFmtId="166" fontId="8" fillId="0" borderId="0" xfId="0" applyNumberFormat="1" applyFont="1" applyAlignment="1">
      <alignment horizontal="center" vertical="center" wrapText="1" shrinkToFit="1"/>
    </xf>
    <xf numFmtId="166" fontId="34" fillId="0" borderId="0" xfId="0" applyNumberFormat="1" applyFont="1" applyAlignment="1">
      <alignment horizontal="center" vertical="center"/>
    </xf>
    <xf numFmtId="166" fontId="13" fillId="2" borderId="1" xfId="0" applyNumberFormat="1" applyFont="1" applyFill="1" applyBorder="1" applyAlignment="1">
      <alignment horizontal="center" vertical="center" wrapText="1" shrinkToFit="1"/>
    </xf>
    <xf numFmtId="166" fontId="7" fillId="2" borderId="1" xfId="0" applyNumberFormat="1" applyFont="1" applyFill="1" applyBorder="1" applyAlignment="1">
      <alignment horizontal="center" vertical="center" wrapText="1" shrinkToFit="1"/>
    </xf>
    <xf numFmtId="9" fontId="0" fillId="19" borderId="0" xfId="3" applyFont="1" applyFill="1" applyAlignment="1">
      <alignment horizontal="center" vertical="center"/>
    </xf>
    <xf numFmtId="0" fontId="0" fillId="3" borderId="0" xfId="0" applyFill="1"/>
    <xf numFmtId="3" fontId="0" fillId="3" borderId="0" xfId="0" applyNumberFormat="1" applyFill="1"/>
    <xf numFmtId="168" fontId="0" fillId="3" borderId="0" xfId="4" applyNumberFormat="1" applyFont="1" applyFill="1" applyBorder="1" applyAlignment="1">
      <alignment vertical="center" wrapText="1"/>
    </xf>
    <xf numFmtId="9" fontId="0" fillId="3" borderId="0" xfId="3" applyFont="1" applyFill="1" applyBorder="1" applyAlignment="1">
      <alignment vertical="center"/>
    </xf>
    <xf numFmtId="168" fontId="0" fillId="3" borderId="0" xfId="4" applyNumberFormat="1" applyFont="1" applyFill="1" applyBorder="1" applyAlignment="1">
      <alignment vertical="center"/>
    </xf>
    <xf numFmtId="9" fontId="0" fillId="3" borderId="0" xfId="3" applyFont="1" applyFill="1" applyBorder="1" applyAlignment="1">
      <alignment horizontal="right" vertical="center"/>
    </xf>
    <xf numFmtId="3" fontId="6" fillId="9" borderId="1" xfId="0" applyNumberFormat="1" applyFont="1" applyFill="1" applyBorder="1" applyAlignment="1">
      <alignment horizontal="center" vertical="center" wrapText="1" shrinkToFit="1"/>
    </xf>
    <xf numFmtId="166" fontId="20" fillId="9" borderId="1" xfId="0" applyNumberFormat="1" applyFont="1" applyFill="1" applyBorder="1" applyAlignment="1">
      <alignment horizontal="center" vertical="center" wrapText="1" shrinkToFit="1"/>
    </xf>
    <xf numFmtId="166" fontId="8" fillId="9" borderId="1" xfId="0" applyNumberFormat="1" applyFont="1" applyFill="1" applyBorder="1" applyAlignment="1">
      <alignment horizontal="center" vertical="center" wrapText="1" shrinkToFit="1"/>
    </xf>
    <xf numFmtId="0" fontId="13" fillId="2" borderId="15" xfId="0" applyFont="1" applyFill="1" applyBorder="1" applyAlignment="1">
      <alignment horizontal="center" vertical="center" wrapText="1" shrinkToFit="1"/>
    </xf>
    <xf numFmtId="0" fontId="13" fillId="2" borderId="85" xfId="0" applyFont="1" applyFill="1" applyBorder="1" applyAlignment="1">
      <alignment horizontal="center" vertical="center" wrapText="1" shrinkToFit="1"/>
    </xf>
    <xf numFmtId="3" fontId="13" fillId="10" borderId="76" xfId="0" applyNumberFormat="1" applyFont="1" applyFill="1" applyBorder="1" applyAlignment="1">
      <alignment horizontal="center" vertical="center" wrapText="1" shrinkToFit="1"/>
    </xf>
    <xf numFmtId="0" fontId="6" fillId="0" borderId="86" xfId="0" applyFont="1" applyBorder="1" applyAlignment="1">
      <alignment horizontal="center" vertical="center" wrapText="1" shrinkToFit="1"/>
    </xf>
    <xf numFmtId="0" fontId="6" fillId="11" borderId="86" xfId="0" applyFont="1" applyFill="1" applyBorder="1" applyAlignment="1">
      <alignment horizontal="center" vertical="center" wrapText="1" shrinkToFit="1"/>
    </xf>
    <xf numFmtId="0" fontId="6" fillId="0" borderId="86" xfId="0" applyFont="1" applyBorder="1" applyAlignment="1">
      <alignment horizontal="left" vertical="center" wrapText="1" shrinkToFit="1"/>
    </xf>
    <xf numFmtId="0" fontId="6" fillId="0" borderId="86" xfId="0" applyFont="1" applyBorder="1" applyAlignment="1">
      <alignment horizontal="left" vertical="center" wrapText="1"/>
    </xf>
    <xf numFmtId="0" fontId="13" fillId="2" borderId="85" xfId="0" applyFont="1" applyFill="1" applyBorder="1" applyAlignment="1">
      <alignment horizontal="left" vertical="center" wrapText="1" shrinkToFit="1"/>
    </xf>
    <xf numFmtId="0" fontId="13" fillId="2" borderId="76" xfId="0" applyFont="1" applyFill="1" applyBorder="1" applyAlignment="1">
      <alignment horizontal="right" vertical="center" wrapText="1" shrinkToFit="1"/>
    </xf>
    <xf numFmtId="3" fontId="13" fillId="2" borderId="76" xfId="0" applyNumberFormat="1" applyFont="1" applyFill="1" applyBorder="1" applyAlignment="1">
      <alignment horizontal="center" vertical="center" wrapText="1" shrinkToFit="1"/>
    </xf>
    <xf numFmtId="3" fontId="13" fillId="2" borderId="85" xfId="0" applyNumberFormat="1" applyFont="1" applyFill="1" applyBorder="1" applyAlignment="1">
      <alignment horizontal="left" vertical="center" wrapText="1" shrinkToFit="1"/>
    </xf>
    <xf numFmtId="0" fontId="6" fillId="11" borderId="86" xfId="2" applyFont="1" applyFill="1" applyBorder="1" applyAlignment="1">
      <alignment horizontal="center" vertical="center" wrapText="1"/>
    </xf>
    <xf numFmtId="0" fontId="6" fillId="11" borderId="86" xfId="1" applyFont="1" applyFill="1" applyBorder="1" applyAlignment="1">
      <alignment horizontal="center" vertical="center" wrapText="1"/>
    </xf>
    <xf numFmtId="0" fontId="6" fillId="11" borderId="86" xfId="0" applyFont="1" applyFill="1" applyBorder="1" applyAlignment="1">
      <alignment horizontal="center" vertical="center" wrapText="1"/>
    </xf>
    <xf numFmtId="0" fontId="6" fillId="3" borderId="86" xfId="0" applyFont="1" applyFill="1" applyBorder="1" applyAlignment="1">
      <alignment horizontal="center" vertical="center" wrapText="1"/>
    </xf>
    <xf numFmtId="0" fontId="6" fillId="3" borderId="86" xfId="0" applyFont="1" applyFill="1" applyBorder="1" applyAlignment="1">
      <alignment horizontal="left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5" fillId="6" borderId="12" xfId="0" applyFont="1" applyFill="1" applyBorder="1" applyAlignment="1">
      <alignment horizontal="left" vertical="center" wrapText="1"/>
    </xf>
    <xf numFmtId="2" fontId="36" fillId="12" borderId="79" xfId="0" applyNumberFormat="1" applyFont="1" applyFill="1" applyBorder="1" applyAlignment="1">
      <alignment horizontal="center" vertical="center" wrapText="1" shrinkToFit="1"/>
    </xf>
    <xf numFmtId="2" fontId="36" fillId="0" borderId="87" xfId="0" applyNumberFormat="1" applyFont="1" applyBorder="1"/>
    <xf numFmtId="3" fontId="36" fillId="0" borderId="87" xfId="0" applyNumberFormat="1" applyFont="1" applyBorder="1"/>
    <xf numFmtId="2" fontId="36" fillId="20" borderId="79" xfId="0" applyNumberFormat="1" applyFont="1" applyFill="1" applyBorder="1" applyAlignment="1">
      <alignment horizontal="center" vertical="center" wrapText="1" shrinkToFit="1"/>
    </xf>
    <xf numFmtId="0" fontId="36" fillId="0" borderId="87" xfId="0" applyFont="1" applyBorder="1" applyAlignment="1">
      <alignment horizontal="right"/>
    </xf>
    <xf numFmtId="0" fontId="36" fillId="2" borderId="0" xfId="0" applyFont="1" applyFill="1"/>
    <xf numFmtId="0" fontId="0" fillId="2" borderId="0" xfId="0" applyFill="1"/>
    <xf numFmtId="2" fontId="37" fillId="12" borderId="77" xfId="0" applyNumberFormat="1" applyFont="1" applyFill="1" applyBorder="1" applyAlignment="1">
      <alignment horizontal="center" vertical="center" wrapText="1" shrinkToFit="1"/>
    </xf>
    <xf numFmtId="2" fontId="37" fillId="12" borderId="79" xfId="0" applyNumberFormat="1" applyFont="1" applyFill="1" applyBorder="1" applyAlignment="1">
      <alignment horizontal="center" vertical="center" wrapText="1" shrinkToFit="1"/>
    </xf>
    <xf numFmtId="2" fontId="37" fillId="12" borderId="80" xfId="0" applyNumberFormat="1" applyFont="1" applyFill="1" applyBorder="1" applyAlignment="1">
      <alignment horizontal="center" vertical="center" wrapText="1" shrinkToFit="1"/>
    </xf>
    <xf numFmtId="2" fontId="36" fillId="12" borderId="80" xfId="0" applyNumberFormat="1" applyFont="1" applyFill="1" applyBorder="1" applyAlignment="1">
      <alignment horizontal="center" vertical="center" wrapText="1" shrinkToFit="1"/>
    </xf>
    <xf numFmtId="2" fontId="37" fillId="20" borderId="77" xfId="0" applyNumberFormat="1" applyFont="1" applyFill="1" applyBorder="1" applyAlignment="1">
      <alignment horizontal="center" vertical="center" wrapText="1" shrinkToFit="1"/>
    </xf>
    <xf numFmtId="2" fontId="37" fillId="20" borderId="79" xfId="0" applyNumberFormat="1" applyFont="1" applyFill="1" applyBorder="1" applyAlignment="1">
      <alignment horizontal="center" vertical="center" wrapText="1" shrinkToFit="1"/>
    </xf>
    <xf numFmtId="0" fontId="37" fillId="0" borderId="81" xfId="0" applyFont="1" applyBorder="1" applyAlignment="1">
      <alignment horizontal="right"/>
    </xf>
    <xf numFmtId="0" fontId="37" fillId="0" borderId="82" xfId="0" applyFont="1" applyBorder="1" applyAlignment="1">
      <alignment horizontal="right"/>
    </xf>
    <xf numFmtId="169" fontId="37" fillId="0" borderId="82" xfId="0" applyNumberFormat="1" applyFont="1" applyBorder="1"/>
    <xf numFmtId="1" fontId="0" fillId="0" borderId="83" xfId="0" applyNumberFormat="1" applyBorder="1"/>
    <xf numFmtId="169" fontId="0" fillId="0" borderId="83" xfId="0" applyNumberFormat="1" applyBorder="1"/>
    <xf numFmtId="0" fontId="36" fillId="12" borderId="88" xfId="0" applyFont="1" applyFill="1" applyBorder="1"/>
    <xf numFmtId="0" fontId="37" fillId="12" borderId="11" xfId="0" applyFont="1" applyFill="1" applyBorder="1"/>
    <xf numFmtId="0" fontId="36" fillId="20" borderId="88" xfId="0" applyFont="1" applyFill="1" applyBorder="1"/>
    <xf numFmtId="0" fontId="37" fillId="12" borderId="84" xfId="0" applyFont="1" applyFill="1" applyBorder="1"/>
    <xf numFmtId="0" fontId="37" fillId="20" borderId="7" xfId="0" applyFont="1" applyFill="1" applyBorder="1"/>
    <xf numFmtId="0" fontId="37" fillId="20" borderId="8" xfId="0" applyFont="1" applyFill="1" applyBorder="1"/>
    <xf numFmtId="2" fontId="6" fillId="3" borderId="1" xfId="0" applyNumberFormat="1" applyFont="1" applyFill="1" applyBorder="1" applyAlignment="1">
      <alignment horizontal="center" vertical="center" wrapText="1" shrinkToFit="1"/>
    </xf>
    <xf numFmtId="2" fontId="6" fillId="0" borderId="1" xfId="0" applyNumberFormat="1" applyFont="1" applyBorder="1" applyAlignment="1">
      <alignment horizontal="center" vertical="center" wrapText="1" shrinkToFit="1"/>
    </xf>
    <xf numFmtId="2" fontId="0" fillId="0" borderId="1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  <xf numFmtId="2" fontId="36" fillId="0" borderId="87" xfId="0" applyNumberFormat="1" applyFont="1" applyBorder="1" applyAlignment="1">
      <alignment horizontal="right"/>
    </xf>
    <xf numFmtId="1" fontId="36" fillId="17" borderId="87" xfId="0" applyNumberFormat="1" applyFont="1" applyFill="1" applyBorder="1"/>
    <xf numFmtId="3" fontId="36" fillId="17" borderId="87" xfId="0" applyNumberFormat="1" applyFont="1" applyFill="1" applyBorder="1"/>
    <xf numFmtId="4" fontId="36" fillId="0" borderId="87" xfId="0" applyNumberFormat="1" applyFont="1" applyBorder="1"/>
    <xf numFmtId="2" fontId="37" fillId="0" borderId="1" xfId="0" applyNumberFormat="1" applyFont="1" applyBorder="1"/>
    <xf numFmtId="3" fontId="36" fillId="17" borderId="89" xfId="0" applyNumberFormat="1" applyFont="1" applyFill="1" applyBorder="1"/>
    <xf numFmtId="3" fontId="6" fillId="0" borderId="86" xfId="0" applyNumberFormat="1" applyFont="1" applyBorder="1" applyAlignment="1">
      <alignment horizontal="center" vertical="center" wrapText="1" shrinkToFit="1"/>
    </xf>
    <xf numFmtId="0" fontId="3" fillId="0" borderId="0" xfId="0" applyFont="1" applyAlignment="1">
      <alignment horizontal="center" vertical="center"/>
    </xf>
    <xf numFmtId="0" fontId="0" fillId="3" borderId="2" xfId="0" applyFill="1" applyBorder="1"/>
    <xf numFmtId="0" fontId="0" fillId="3" borderId="5" xfId="0" applyFill="1" applyBorder="1"/>
    <xf numFmtId="0" fontId="0" fillId="3" borderId="7" xfId="0" applyFill="1" applyBorder="1"/>
    <xf numFmtId="168" fontId="0" fillId="3" borderId="0" xfId="4" applyNumberFormat="1" applyFont="1" applyFill="1" applyBorder="1" applyAlignment="1">
      <alignment horizontal="center" vertical="center" wrapText="1"/>
    </xf>
    <xf numFmtId="9" fontId="0" fillId="3" borderId="0" xfId="3" applyFont="1" applyFill="1" applyBorder="1" applyAlignment="1">
      <alignment horizontal="center" vertical="center"/>
    </xf>
    <xf numFmtId="168" fontId="0" fillId="3" borderId="0" xfId="4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3" fontId="0" fillId="3" borderId="0" xfId="0" applyNumberFormat="1" applyFill="1" applyAlignment="1">
      <alignment horizontal="center"/>
    </xf>
    <xf numFmtId="3" fontId="0" fillId="3" borderId="0" xfId="0" applyNumberFormat="1" applyFill="1" applyAlignment="1">
      <alignment horizontal="center" vertical="center" wrapText="1"/>
    </xf>
    <xf numFmtId="168" fontId="0" fillId="3" borderId="0" xfId="4" applyNumberFormat="1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3" borderId="0" xfId="0" applyFill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3" borderId="0" xfId="0" applyNumberFormat="1" applyFill="1" applyAlignment="1">
      <alignment horizontal="right" vertical="center" wrapText="1"/>
    </xf>
    <xf numFmtId="3" fontId="0" fillId="3" borderId="0" xfId="0" applyNumberFormat="1" applyFill="1" applyAlignment="1">
      <alignment horizontal="right" vertical="center"/>
    </xf>
    <xf numFmtId="0" fontId="0" fillId="19" borderId="0" xfId="0" applyFill="1" applyAlignment="1">
      <alignment horizontal="center"/>
    </xf>
    <xf numFmtId="3" fontId="0" fillId="19" borderId="0" xfId="0" applyNumberFormat="1" applyFill="1" applyAlignment="1">
      <alignment horizontal="center"/>
    </xf>
    <xf numFmtId="0" fontId="4" fillId="16" borderId="27" xfId="0" applyFont="1" applyFill="1" applyBorder="1" applyAlignment="1">
      <alignment vertical="center"/>
    </xf>
    <xf numFmtId="0" fontId="4" fillId="19" borderId="19" xfId="0" applyFont="1" applyFill="1" applyBorder="1" applyAlignment="1">
      <alignment vertical="center"/>
    </xf>
    <xf numFmtId="0" fontId="31" fillId="19" borderId="19" xfId="0" applyFont="1" applyFill="1" applyBorder="1" applyAlignment="1">
      <alignment vertical="center"/>
    </xf>
    <xf numFmtId="0" fontId="31" fillId="19" borderId="21" xfId="0" applyFont="1" applyFill="1" applyBorder="1" applyAlignment="1">
      <alignment vertical="center"/>
    </xf>
    <xf numFmtId="9" fontId="32" fillId="3" borderId="0" xfId="3" applyFont="1" applyFill="1" applyBorder="1" applyAlignment="1">
      <alignment horizontal="center" vertical="center"/>
    </xf>
    <xf numFmtId="37" fontId="4" fillId="16" borderId="28" xfId="4" applyNumberFormat="1" applyFont="1" applyFill="1" applyBorder="1" applyAlignment="1">
      <alignment horizontal="center" vertical="center" wrapText="1"/>
    </xf>
    <xf numFmtId="37" fontId="0" fillId="19" borderId="0" xfId="4" applyNumberFormat="1" applyFont="1" applyFill="1" applyAlignment="1">
      <alignment horizontal="center" vertical="center"/>
    </xf>
    <xf numFmtId="37" fontId="32" fillId="19" borderId="0" xfId="4" applyNumberFormat="1" applyFont="1" applyFill="1" applyAlignment="1">
      <alignment horizontal="center" vertical="center"/>
    </xf>
    <xf numFmtId="37" fontId="32" fillId="19" borderId="22" xfId="4" applyNumberFormat="1" applyFont="1" applyFill="1" applyBorder="1" applyAlignment="1">
      <alignment horizontal="center" vertical="center"/>
    </xf>
    <xf numFmtId="37" fontId="0" fillId="19" borderId="0" xfId="4" applyNumberFormat="1" applyFont="1" applyFill="1" applyAlignment="1">
      <alignment horizontal="center"/>
    </xf>
    <xf numFmtId="37" fontId="0" fillId="3" borderId="0" xfId="4" applyNumberFormat="1" applyFont="1" applyFill="1" applyBorder="1" applyAlignment="1">
      <alignment horizontal="center"/>
    </xf>
    <xf numFmtId="37" fontId="0" fillId="0" borderId="0" xfId="4" applyNumberFormat="1" applyFont="1" applyAlignment="1">
      <alignment horizontal="center"/>
    </xf>
    <xf numFmtId="2" fontId="4" fillId="12" borderId="79" xfId="0" applyNumberFormat="1" applyFont="1" applyFill="1" applyBorder="1" applyAlignment="1">
      <alignment horizontal="center" vertical="center" wrapText="1" shrinkToFit="1"/>
    </xf>
    <xf numFmtId="2" fontId="39" fillId="12" borderId="79" xfId="0" applyNumberFormat="1" applyFont="1" applyFill="1" applyBorder="1" applyAlignment="1">
      <alignment horizontal="center" vertical="center" wrapText="1" shrinkToFit="1"/>
    </xf>
    <xf numFmtId="164" fontId="5" fillId="2" borderId="1" xfId="0" applyNumberFormat="1" applyFont="1" applyFill="1" applyBorder="1" applyAlignment="1">
      <alignment horizontal="center" vertical="center" wrapText="1" shrinkToFit="1"/>
    </xf>
    <xf numFmtId="2" fontId="6" fillId="9" borderId="1" xfId="0" applyNumberFormat="1" applyFont="1" applyFill="1" applyBorder="1" applyAlignment="1">
      <alignment horizontal="center" vertical="center" wrapText="1" shrinkToFit="1"/>
    </xf>
    <xf numFmtId="2" fontId="5" fillId="2" borderId="86" xfId="0" applyNumberFormat="1" applyFont="1" applyFill="1" applyBorder="1" applyAlignment="1">
      <alignment horizontal="center" vertical="center" wrapText="1" shrinkToFit="1"/>
    </xf>
    <xf numFmtId="2" fontId="6" fillId="9" borderId="85" xfId="0" applyNumberFormat="1" applyFont="1" applyFill="1" applyBorder="1" applyAlignment="1">
      <alignment horizontal="center" vertical="center" wrapText="1" shrinkToFit="1"/>
    </xf>
    <xf numFmtId="2" fontId="5" fillId="2" borderId="14" xfId="0" applyNumberFormat="1" applyFont="1" applyFill="1" applyBorder="1" applyAlignment="1">
      <alignment horizontal="center" vertical="center" wrapText="1" shrinkToFit="1"/>
    </xf>
    <xf numFmtId="2" fontId="3" fillId="3" borderId="0" xfId="0" applyNumberFormat="1" applyFont="1" applyFill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 shrinkToFit="1"/>
    </xf>
    <xf numFmtId="2" fontId="12" fillId="2" borderId="1" xfId="0" applyNumberFormat="1" applyFont="1" applyFill="1" applyBorder="1" applyAlignment="1">
      <alignment horizontal="center" vertical="center" wrapText="1" shrinkToFit="1"/>
    </xf>
    <xf numFmtId="2" fontId="3" fillId="0" borderId="0" xfId="0" applyNumberFormat="1" applyFont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 shrinkToFit="1"/>
    </xf>
    <xf numFmtId="2" fontId="12" fillId="2" borderId="86" xfId="0" applyNumberFormat="1" applyFont="1" applyFill="1" applyBorder="1" applyAlignment="1">
      <alignment horizontal="center" vertical="center" wrapText="1" shrinkToFit="1"/>
    </xf>
    <xf numFmtId="2" fontId="6" fillId="9" borderId="15" xfId="0" applyNumberFormat="1" applyFont="1" applyFill="1" applyBorder="1" applyAlignment="1">
      <alignment horizontal="center" vertical="center" wrapText="1" shrinkToFit="1"/>
    </xf>
    <xf numFmtId="2" fontId="12" fillId="2" borderId="14" xfId="0" applyNumberFormat="1" applyFont="1" applyFill="1" applyBorder="1" applyAlignment="1">
      <alignment horizontal="center" vertical="center" wrapText="1" shrinkToFit="1"/>
    </xf>
    <xf numFmtId="2" fontId="33" fillId="2" borderId="1" xfId="0" applyNumberFormat="1" applyFont="1" applyFill="1" applyBorder="1" applyAlignment="1">
      <alignment horizontal="center" vertical="center" wrapText="1" shrinkToFit="1"/>
    </xf>
    <xf numFmtId="2" fontId="8" fillId="9" borderId="1" xfId="0" applyNumberFormat="1" applyFont="1" applyFill="1" applyBorder="1" applyAlignment="1">
      <alignment horizontal="center" vertical="center" wrapText="1" shrinkToFit="1"/>
    </xf>
    <xf numFmtId="2" fontId="0" fillId="0" borderId="1" xfId="4" applyNumberFormat="1" applyFont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 wrapText="1" shrinkToFit="1"/>
    </xf>
    <xf numFmtId="2" fontId="12" fillId="2" borderId="15" xfId="0" applyNumberFormat="1" applyFont="1" applyFill="1" applyBorder="1" applyAlignment="1">
      <alignment horizontal="center" vertical="center" wrapText="1" shrinkToFit="1"/>
    </xf>
    <xf numFmtId="2" fontId="6" fillId="9" borderId="13" xfId="0" applyNumberFormat="1" applyFont="1" applyFill="1" applyBorder="1" applyAlignment="1">
      <alignment horizontal="center" vertical="center" wrapText="1" shrinkToFit="1"/>
    </xf>
    <xf numFmtId="2" fontId="6" fillId="0" borderId="1" xfId="0" applyNumberFormat="1" applyFont="1" applyBorder="1" applyAlignment="1">
      <alignment wrapText="1"/>
    </xf>
    <xf numFmtId="2" fontId="6" fillId="0" borderId="0" xfId="0" applyNumberFormat="1" applyFont="1" applyAlignment="1">
      <alignment horizontal="center" vertical="center" wrapText="1" shrinkToFit="1"/>
    </xf>
    <xf numFmtId="2" fontId="14" fillId="0" borderId="0" xfId="0" applyNumberFormat="1" applyFont="1" applyAlignment="1">
      <alignment horizontal="center" vertical="center"/>
    </xf>
    <xf numFmtId="166" fontId="6" fillId="9" borderId="1" xfId="0" applyNumberFormat="1" applyFont="1" applyFill="1" applyBorder="1" applyAlignment="1">
      <alignment horizontal="center" vertical="center" wrapText="1" shrinkToFit="1"/>
    </xf>
    <xf numFmtId="166" fontId="12" fillId="2" borderId="15" xfId="0" applyNumberFormat="1" applyFont="1" applyFill="1" applyBorder="1" applyAlignment="1">
      <alignment horizontal="center" vertical="center" wrapText="1" shrinkToFit="1"/>
    </xf>
    <xf numFmtId="0" fontId="13" fillId="9" borderId="76" xfId="0" applyFont="1" applyFill="1" applyBorder="1" applyAlignment="1">
      <alignment vertical="center" wrapText="1" shrinkToFit="1"/>
    </xf>
    <xf numFmtId="0" fontId="13" fillId="9" borderId="16" xfId="0" applyFont="1" applyFill="1" applyBorder="1" applyAlignment="1">
      <alignment vertical="center" wrapText="1" shrinkToFit="1"/>
    </xf>
    <xf numFmtId="0" fontId="13" fillId="9" borderId="18" xfId="0" applyFont="1" applyFill="1" applyBorder="1" applyAlignment="1">
      <alignment vertical="center" wrapText="1" shrinkToFit="1"/>
    </xf>
    <xf numFmtId="0" fontId="13" fillId="8" borderId="16" xfId="0" applyFont="1" applyFill="1" applyBorder="1" applyAlignment="1">
      <alignment horizontal="left" vertical="center" wrapText="1" shrinkToFit="1"/>
    </xf>
    <xf numFmtId="0" fontId="13" fillId="8" borderId="18" xfId="0" applyFont="1" applyFill="1" applyBorder="1" applyAlignment="1">
      <alignment horizontal="left" vertical="center" wrapText="1" shrinkToFit="1"/>
    </xf>
    <xf numFmtId="0" fontId="0" fillId="0" borderId="1" xfId="0" applyBorder="1"/>
    <xf numFmtId="0" fontId="13" fillId="8" borderId="16" xfId="0" applyFont="1" applyFill="1" applyBorder="1" applyAlignment="1">
      <alignment vertical="center" wrapText="1" shrinkToFit="1"/>
    </xf>
    <xf numFmtId="0" fontId="13" fillId="8" borderId="18" xfId="0" applyFont="1" applyFill="1" applyBorder="1" applyAlignment="1">
      <alignment vertical="center" wrapText="1" shrinkToFit="1"/>
    </xf>
    <xf numFmtId="0" fontId="3" fillId="0" borderId="0" xfId="0" applyFont="1"/>
    <xf numFmtId="0" fontId="7" fillId="2" borderId="15" xfId="0" applyFont="1" applyFill="1" applyBorder="1" applyAlignment="1">
      <alignment horizontal="center" vertical="center" wrapText="1" shrinkToFit="1"/>
    </xf>
    <xf numFmtId="3" fontId="7" fillId="2" borderId="85" xfId="0" applyNumberFormat="1" applyFont="1" applyFill="1" applyBorder="1" applyAlignment="1">
      <alignment horizontal="left" vertical="center" wrapText="1" shrinkToFit="1"/>
    </xf>
    <xf numFmtId="0" fontId="7" fillId="2" borderId="85" xfId="0" applyFont="1" applyFill="1" applyBorder="1" applyAlignment="1">
      <alignment horizontal="left" vertical="center" wrapText="1" shrinkToFit="1"/>
    </xf>
    <xf numFmtId="0" fontId="7" fillId="2" borderId="76" xfId="0" applyFont="1" applyFill="1" applyBorder="1" applyAlignment="1">
      <alignment horizontal="right" vertical="center" wrapText="1" shrinkToFit="1"/>
    </xf>
    <xf numFmtId="3" fontId="7" fillId="2" borderId="76" xfId="0" applyNumberFormat="1" applyFont="1" applyFill="1" applyBorder="1" applyAlignment="1">
      <alignment horizontal="center" vertical="center" wrapText="1" shrinkToFit="1"/>
    </xf>
    <xf numFmtId="3" fontId="7" fillId="2" borderId="1" xfId="0" applyNumberFormat="1" applyFont="1" applyFill="1" applyBorder="1" applyAlignment="1">
      <alignment horizontal="center" vertical="center" wrapText="1" shrinkToFit="1"/>
    </xf>
    <xf numFmtId="165" fontId="7" fillId="2" borderId="1" xfId="0" applyNumberFormat="1" applyFont="1" applyFill="1" applyBorder="1" applyAlignment="1">
      <alignment horizontal="center" vertical="center" wrapText="1" shrinkToFit="1"/>
    </xf>
    <xf numFmtId="3" fontId="7" fillId="10" borderId="1" xfId="0" applyNumberFormat="1" applyFont="1" applyFill="1" applyBorder="1" applyAlignment="1">
      <alignment horizontal="center" vertical="center" wrapText="1" shrinkToFit="1"/>
    </xf>
    <xf numFmtId="3" fontId="5" fillId="2" borderId="1" xfId="0" applyNumberFormat="1" applyFont="1" applyFill="1" applyBorder="1" applyAlignment="1">
      <alignment horizontal="center" vertical="center" wrapText="1" shrinkToFit="1"/>
    </xf>
    <xf numFmtId="166" fontId="5" fillId="2" borderId="15" xfId="0" applyNumberFormat="1" applyFont="1" applyFill="1" applyBorder="1" applyAlignment="1">
      <alignment horizontal="center" vertical="center" wrapText="1" shrinkToFit="1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166" fontId="3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23" fillId="9" borderId="1" xfId="0" applyNumberFormat="1" applyFont="1" applyFill="1" applyBorder="1" applyAlignment="1">
      <alignment horizontal="center" vertical="center" wrapText="1" shrinkToFit="1"/>
    </xf>
    <xf numFmtId="0" fontId="22" fillId="9" borderId="1" xfId="0" applyFont="1" applyFill="1" applyBorder="1" applyAlignment="1">
      <alignment horizontal="center" vertical="center" wrapText="1" shrinkToFit="1"/>
    </xf>
    <xf numFmtId="166" fontId="22" fillId="9" borderId="1" xfId="0" applyNumberFormat="1" applyFont="1" applyFill="1" applyBorder="1" applyAlignment="1">
      <alignment horizontal="center" vertical="center" wrapText="1" shrinkToFit="1"/>
    </xf>
    <xf numFmtId="166" fontId="23" fillId="9" borderId="1" xfId="0" applyNumberFormat="1" applyFont="1" applyFill="1" applyBorder="1" applyAlignment="1">
      <alignment horizontal="center" vertical="center" wrapText="1" shrinkToFit="1"/>
    </xf>
    <xf numFmtId="2" fontId="22" fillId="9" borderId="1" xfId="0" applyNumberFormat="1" applyFont="1" applyFill="1" applyBorder="1" applyAlignment="1">
      <alignment horizontal="center" vertical="center" wrapText="1" shrinkToFit="1"/>
    </xf>
    <xf numFmtId="0" fontId="22" fillId="0" borderId="0" xfId="0" applyFont="1" applyAlignment="1">
      <alignment horizontal="center" vertical="center"/>
    </xf>
    <xf numFmtId="3" fontId="23" fillId="8" borderId="1" xfId="0" applyNumberFormat="1" applyFont="1" applyFill="1" applyBorder="1" applyAlignment="1">
      <alignment horizontal="center" vertical="center" wrapText="1" shrinkToFit="1"/>
    </xf>
    <xf numFmtId="0" fontId="22" fillId="8" borderId="1" xfId="0" applyFont="1" applyFill="1" applyBorder="1" applyAlignment="1">
      <alignment horizontal="center" vertical="center" wrapText="1" shrinkToFit="1"/>
    </xf>
    <xf numFmtId="166" fontId="22" fillId="8" borderId="1" xfId="0" applyNumberFormat="1" applyFont="1" applyFill="1" applyBorder="1" applyAlignment="1">
      <alignment horizontal="center" vertical="center" wrapText="1" shrinkToFit="1"/>
    </xf>
    <xf numFmtId="2" fontId="23" fillId="8" borderId="1" xfId="0" applyNumberFormat="1" applyFont="1" applyFill="1" applyBorder="1" applyAlignment="1">
      <alignment horizontal="center" vertical="center" wrapText="1" shrinkToFit="1"/>
    </xf>
    <xf numFmtId="166" fontId="23" fillId="8" borderId="1" xfId="0" applyNumberFormat="1" applyFont="1" applyFill="1" applyBorder="1" applyAlignment="1">
      <alignment horizontal="center" vertical="center" wrapText="1" shrinkToFit="1"/>
    </xf>
    <xf numFmtId="2" fontId="23" fillId="9" borderId="1" xfId="0" applyNumberFormat="1" applyFont="1" applyFill="1" applyBorder="1" applyAlignment="1">
      <alignment horizontal="center" vertical="center" wrapText="1" shrinkToFit="1"/>
    </xf>
    <xf numFmtId="0" fontId="22" fillId="0" borderId="0" xfId="0" applyFont="1"/>
    <xf numFmtId="166" fontId="22" fillId="0" borderId="0" xfId="0" applyNumberFormat="1" applyFont="1"/>
    <xf numFmtId="0" fontId="12" fillId="0" borderId="0" xfId="0" applyFont="1"/>
    <xf numFmtId="166" fontId="12" fillId="0" borderId="0" xfId="0" applyNumberFormat="1" applyFont="1"/>
    <xf numFmtId="166" fontId="6" fillId="0" borderId="0" xfId="0" applyNumberFormat="1" applyFont="1"/>
    <xf numFmtId="166" fontId="23" fillId="0" borderId="0" xfId="0" applyNumberFormat="1" applyFont="1"/>
    <xf numFmtId="166" fontId="13" fillId="0" borderId="0" xfId="0" applyNumberFormat="1" applyFont="1"/>
    <xf numFmtId="2" fontId="12" fillId="14" borderId="14" xfId="0" applyNumberFormat="1" applyFont="1" applyFill="1" applyBorder="1" applyAlignment="1">
      <alignment horizontal="center" vertical="center" wrapText="1" shrinkToFit="1"/>
    </xf>
    <xf numFmtId="166" fontId="13" fillId="14" borderId="1" xfId="0" applyNumberFormat="1" applyFont="1" applyFill="1" applyBorder="1" applyAlignment="1">
      <alignment horizontal="center" vertical="center" wrapText="1" shrinkToFit="1"/>
    </xf>
    <xf numFmtId="2" fontId="22" fillId="0" borderId="0" xfId="0" applyNumberFormat="1" applyFont="1"/>
    <xf numFmtId="2" fontId="12" fillId="0" borderId="0" xfId="0" applyNumberFormat="1" applyFont="1"/>
    <xf numFmtId="2" fontId="12" fillId="0" borderId="0" xfId="0" applyNumberFormat="1" applyFont="1" applyAlignment="1">
      <alignment horizontal="center"/>
    </xf>
    <xf numFmtId="0" fontId="4" fillId="17" borderId="2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90" xfId="0" applyFill="1" applyBorder="1"/>
    <xf numFmtId="0" fontId="0" fillId="3" borderId="5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35" fillId="13" borderId="5" xfId="0" applyFont="1" applyFill="1" applyBorder="1" applyAlignment="1">
      <alignment horizontal="center" vertical="center"/>
    </xf>
    <xf numFmtId="0" fontId="35" fillId="13" borderId="7" xfId="0" applyFont="1" applyFill="1" applyBorder="1" applyAlignment="1">
      <alignment horizontal="center" vertical="center"/>
    </xf>
    <xf numFmtId="37" fontId="0" fillId="3" borderId="0" xfId="4" applyNumberFormat="1" applyFont="1" applyFill="1" applyBorder="1" applyAlignment="1">
      <alignment horizontal="center" wrapText="1"/>
    </xf>
    <xf numFmtId="2" fontId="0" fillId="3" borderId="0" xfId="4" applyNumberFormat="1" applyFont="1" applyFill="1" applyBorder="1" applyAlignment="1">
      <alignment horizontal="center" vertical="center"/>
    </xf>
    <xf numFmtId="2" fontId="0" fillId="3" borderId="0" xfId="4" applyNumberFormat="1" applyFont="1" applyFill="1" applyBorder="1" applyAlignment="1">
      <alignment horizontal="center"/>
    </xf>
    <xf numFmtId="3" fontId="0" fillId="3" borderId="0" xfId="4" applyNumberFormat="1" applyFont="1" applyFill="1" applyBorder="1" applyAlignment="1">
      <alignment horizontal="center"/>
    </xf>
    <xf numFmtId="3" fontId="0" fillId="3" borderId="0" xfId="4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2" fontId="0" fillId="3" borderId="6" xfId="4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37" fontId="0" fillId="3" borderId="8" xfId="4" applyNumberFormat="1" applyFont="1" applyFill="1" applyBorder="1" applyAlignment="1">
      <alignment horizontal="center" wrapText="1"/>
    </xf>
    <xf numFmtId="3" fontId="0" fillId="3" borderId="8" xfId="4" applyNumberFormat="1" applyFont="1" applyFill="1" applyBorder="1" applyAlignment="1">
      <alignment horizontal="center"/>
    </xf>
    <xf numFmtId="2" fontId="0" fillId="3" borderId="8" xfId="4" applyNumberFormat="1" applyFont="1" applyFill="1" applyBorder="1" applyAlignment="1">
      <alignment horizontal="center" vertical="center"/>
    </xf>
    <xf numFmtId="2" fontId="0" fillId="3" borderId="9" xfId="4" applyNumberFormat="1" applyFont="1" applyFill="1" applyBorder="1" applyAlignment="1">
      <alignment horizontal="center"/>
    </xf>
    <xf numFmtId="0" fontId="0" fillId="3" borderId="93" xfId="0" applyFill="1" applyBorder="1" applyAlignment="1">
      <alignment horizontal="center"/>
    </xf>
    <xf numFmtId="0" fontId="0" fillId="3" borderId="91" xfId="0" applyFill="1" applyBorder="1" applyAlignment="1">
      <alignment horizontal="center"/>
    </xf>
    <xf numFmtId="37" fontId="0" fillId="3" borderId="84" xfId="4" applyNumberFormat="1" applyFont="1" applyFill="1" applyBorder="1" applyAlignment="1">
      <alignment horizontal="center" wrapText="1"/>
    </xf>
    <xf numFmtId="3" fontId="0" fillId="3" borderId="84" xfId="4" applyNumberFormat="1" applyFont="1" applyFill="1" applyBorder="1" applyAlignment="1">
      <alignment horizontal="center"/>
    </xf>
    <xf numFmtId="2" fontId="0" fillId="3" borderId="84" xfId="4" applyNumberFormat="1" applyFont="1" applyFill="1" applyBorder="1" applyAlignment="1">
      <alignment horizontal="center" vertical="center"/>
    </xf>
    <xf numFmtId="2" fontId="0" fillId="3" borderId="90" xfId="4" applyNumberFormat="1" applyFont="1" applyFill="1" applyBorder="1" applyAlignment="1">
      <alignment horizontal="center"/>
    </xf>
    <xf numFmtId="0" fontId="0" fillId="3" borderId="92" xfId="0" applyFill="1" applyBorder="1" applyAlignment="1">
      <alignment horizontal="center"/>
    </xf>
    <xf numFmtId="37" fontId="0" fillId="3" borderId="3" xfId="4" applyNumberFormat="1" applyFont="1" applyFill="1" applyBorder="1" applyAlignment="1">
      <alignment horizontal="center" wrapText="1"/>
    </xf>
    <xf numFmtId="3" fontId="0" fillId="3" borderId="3" xfId="4" applyNumberFormat="1" applyFont="1" applyFill="1" applyBorder="1" applyAlignment="1">
      <alignment horizontal="center"/>
    </xf>
    <xf numFmtId="2" fontId="0" fillId="3" borderId="3" xfId="4" applyNumberFormat="1" applyFont="1" applyFill="1" applyBorder="1" applyAlignment="1">
      <alignment horizontal="center" vertical="center"/>
    </xf>
    <xf numFmtId="2" fontId="0" fillId="3" borderId="4" xfId="4" applyNumberFormat="1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9" fontId="32" fillId="3" borderId="0" xfId="0" applyNumberFormat="1" applyFont="1" applyFill="1" applyAlignment="1">
      <alignment horizontal="center" vertical="center"/>
    </xf>
    <xf numFmtId="3" fontId="0" fillId="3" borderId="4" xfId="4" applyNumberFormat="1" applyFont="1" applyFill="1" applyBorder="1" applyAlignment="1">
      <alignment horizontal="center" vertical="center"/>
    </xf>
    <xf numFmtId="37" fontId="0" fillId="3" borderId="0" xfId="4" applyNumberFormat="1" applyFont="1" applyFill="1" applyAlignment="1">
      <alignment horizontal="center"/>
    </xf>
    <xf numFmtId="0" fontId="4" fillId="3" borderId="10" xfId="0" applyFont="1" applyFill="1" applyBorder="1" applyAlignment="1">
      <alignment horizontal="center" vertical="center"/>
    </xf>
    <xf numFmtId="37" fontId="4" fillId="3" borderId="84" xfId="4" applyNumberFormat="1" applyFont="1" applyFill="1" applyBorder="1" applyAlignment="1">
      <alignment horizontal="center" vertical="center" wrapText="1"/>
    </xf>
    <xf numFmtId="3" fontId="4" fillId="3" borderId="84" xfId="0" applyNumberFormat="1" applyFont="1" applyFill="1" applyBorder="1" applyAlignment="1">
      <alignment horizontal="center" vertical="center" wrapText="1"/>
    </xf>
    <xf numFmtId="2" fontId="0" fillId="3" borderId="8" xfId="0" applyNumberFormat="1" applyFill="1" applyBorder="1" applyAlignment="1">
      <alignment horizontal="center"/>
    </xf>
    <xf numFmtId="2" fontId="0" fillId="3" borderId="9" xfId="0" applyNumberFormat="1" applyFill="1" applyBorder="1" applyAlignment="1">
      <alignment horizontal="center"/>
    </xf>
    <xf numFmtId="2" fontId="0" fillId="3" borderId="0" xfId="0" applyNumberFormat="1" applyFill="1" applyAlignment="1">
      <alignment horizontal="center"/>
    </xf>
    <xf numFmtId="2" fontId="0" fillId="3" borderId="6" xfId="0" applyNumberFormat="1" applyFill="1" applyBorder="1" applyAlignment="1">
      <alignment horizontal="center"/>
    </xf>
    <xf numFmtId="2" fontId="0" fillId="3" borderId="3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3" fontId="0" fillId="3" borderId="7" xfId="4" applyNumberFormat="1" applyFont="1" applyFill="1" applyBorder="1" applyAlignment="1">
      <alignment horizontal="center" vertical="center" wrapText="1"/>
    </xf>
    <xf numFmtId="3" fontId="0" fillId="3" borderId="8" xfId="4" applyNumberFormat="1" applyFont="1" applyFill="1" applyBorder="1" applyAlignment="1">
      <alignment horizontal="center" vertical="center"/>
    </xf>
    <xf numFmtId="3" fontId="0" fillId="3" borderId="5" xfId="4" applyNumberFormat="1" applyFont="1" applyFill="1" applyBorder="1" applyAlignment="1">
      <alignment horizontal="center" vertical="center" wrapText="1"/>
    </xf>
    <xf numFmtId="3" fontId="0" fillId="3" borderId="2" xfId="4" applyNumberFormat="1" applyFont="1" applyFill="1" applyBorder="1" applyAlignment="1">
      <alignment horizontal="center" vertical="center" wrapText="1"/>
    </xf>
    <xf numFmtId="3" fontId="0" fillId="3" borderId="3" xfId="4" applyNumberFormat="1" applyFont="1" applyFill="1" applyBorder="1" applyAlignment="1">
      <alignment horizontal="center" vertical="center"/>
    </xf>
    <xf numFmtId="3" fontId="0" fillId="3" borderId="84" xfId="0" applyNumberFormat="1" applyFill="1" applyBorder="1" applyAlignment="1">
      <alignment horizontal="center" vertical="center"/>
    </xf>
    <xf numFmtId="3" fontId="0" fillId="3" borderId="84" xfId="0" applyNumberFormat="1" applyFill="1" applyBorder="1" applyAlignment="1">
      <alignment horizontal="center"/>
    </xf>
    <xf numFmtId="0" fontId="4" fillId="0" borderId="11" xfId="0" applyFont="1" applyBorder="1" applyAlignment="1">
      <alignment vertical="center"/>
    </xf>
    <xf numFmtId="37" fontId="0" fillId="3" borderId="11" xfId="4" applyNumberFormat="1" applyFont="1" applyFill="1" applyBorder="1" applyAlignment="1">
      <alignment horizontal="center" vertical="center"/>
    </xf>
    <xf numFmtId="0" fontId="0" fillId="3" borderId="90" xfId="0" applyFill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 shrinkToFit="1"/>
    </xf>
    <xf numFmtId="0" fontId="0" fillId="7" borderId="1" xfId="0" applyFill="1" applyBorder="1" applyAlignment="1">
      <alignment horizontal="center" vertical="center" wrapText="1" shrinkToFit="1"/>
    </xf>
    <xf numFmtId="166" fontId="42" fillId="0" borderId="1" xfId="0" applyNumberFormat="1" applyFont="1" applyBorder="1" applyAlignment="1">
      <alignment horizontal="center" vertical="center" wrapText="1" shrinkToFit="1"/>
    </xf>
    <xf numFmtId="166" fontId="0" fillId="7" borderId="1" xfId="0" applyNumberFormat="1" applyFill="1" applyBorder="1" applyAlignment="1">
      <alignment horizontal="center" vertical="center" wrapText="1" shrinkToFit="1"/>
    </xf>
    <xf numFmtId="0" fontId="0" fillId="8" borderId="1" xfId="0" applyFill="1" applyBorder="1" applyAlignment="1">
      <alignment horizontal="center" vertical="center" wrapText="1" shrinkToFit="1"/>
    </xf>
    <xf numFmtId="2" fontId="14" fillId="0" borderId="1" xfId="0" applyNumberFormat="1" applyFont="1" applyBorder="1" applyAlignment="1">
      <alignment horizontal="center" vertical="center" wrapText="1" shrinkToFit="1"/>
    </xf>
    <xf numFmtId="3" fontId="0" fillId="0" borderId="10" xfId="0" applyNumberFormat="1" applyBorder="1" applyAlignment="1">
      <alignment horizontal="center"/>
    </xf>
    <xf numFmtId="3" fontId="0" fillId="0" borderId="10" xfId="0" applyNumberFormat="1" applyBorder="1" applyAlignment="1">
      <alignment horizontal="center" vertical="center"/>
    </xf>
    <xf numFmtId="0" fontId="4" fillId="17" borderId="11" xfId="0" applyFont="1" applyFill="1" applyBorder="1" applyAlignment="1">
      <alignment horizontal="center" vertical="center" wrapText="1"/>
    </xf>
    <xf numFmtId="3" fontId="4" fillId="17" borderId="84" xfId="0" applyNumberFormat="1" applyFont="1" applyFill="1" applyBorder="1" applyAlignment="1">
      <alignment horizontal="center" vertical="center" wrapText="1"/>
    </xf>
    <xf numFmtId="3" fontId="4" fillId="17" borderId="90" xfId="0" applyNumberFormat="1" applyFont="1" applyFill="1" applyBorder="1" applyAlignment="1">
      <alignment horizontal="center" vertical="center" wrapText="1"/>
    </xf>
    <xf numFmtId="3" fontId="4" fillId="3" borderId="7" xfId="0" applyNumberFormat="1" applyFont="1" applyFill="1" applyBorder="1" applyAlignment="1">
      <alignment horizontal="center" vertical="center"/>
    </xf>
    <xf numFmtId="3" fontId="4" fillId="3" borderId="8" xfId="0" applyNumberFormat="1" applyFont="1" applyFill="1" applyBorder="1" applyAlignment="1">
      <alignment horizontal="center" vertical="center"/>
    </xf>
    <xf numFmtId="0" fontId="0" fillId="3" borderId="11" xfId="0" applyFill="1" applyBorder="1" applyAlignment="1">
      <alignment horizontal="center"/>
    </xf>
    <xf numFmtId="3" fontId="4" fillId="3" borderId="9" xfId="4" applyNumberFormat="1" applyFont="1" applyFill="1" applyBorder="1" applyAlignment="1">
      <alignment horizontal="center" vertical="center" wrapText="1"/>
    </xf>
    <xf numFmtId="0" fontId="4" fillId="3" borderId="7" xfId="0" applyFont="1" applyFill="1" applyBorder="1"/>
    <xf numFmtId="3" fontId="4" fillId="3" borderId="7" xfId="4" applyNumberFormat="1" applyFont="1" applyFill="1" applyBorder="1" applyAlignment="1">
      <alignment horizontal="center" vertical="center" wrapText="1"/>
    </xf>
    <xf numFmtId="0" fontId="0" fillId="3" borderId="11" xfId="0" applyFill="1" applyBorder="1"/>
    <xf numFmtId="2" fontId="36" fillId="18" borderId="1" xfId="0" applyNumberFormat="1" applyFont="1" applyFill="1" applyBorder="1" applyAlignment="1">
      <alignment horizontal="center" vertical="center" wrapText="1" shrinkToFit="1"/>
    </xf>
    <xf numFmtId="0" fontId="0" fillId="18" borderId="1" xfId="0" applyFill="1" applyBorder="1" applyAlignment="1">
      <alignment horizontal="center" vertical="center" wrapText="1"/>
    </xf>
    <xf numFmtId="0" fontId="0" fillId="18" borderId="1" xfId="0" applyFill="1" applyBorder="1" applyAlignment="1">
      <alignment horizontal="center" vertical="center"/>
    </xf>
    <xf numFmtId="169" fontId="38" fillId="23" borderId="1" xfId="0" applyNumberFormat="1" applyFont="1" applyFill="1" applyBorder="1" applyAlignment="1">
      <alignment horizontal="center" vertical="center"/>
    </xf>
    <xf numFmtId="0" fontId="13" fillId="9" borderId="16" xfId="0" applyFont="1" applyFill="1" applyBorder="1" applyAlignment="1">
      <alignment horizontal="left" vertical="center" wrapText="1" shrinkToFit="1"/>
    </xf>
    <xf numFmtId="0" fontId="13" fillId="9" borderId="18" xfId="0" applyFont="1" applyFill="1" applyBorder="1" applyAlignment="1">
      <alignment horizontal="left" vertical="center" wrapText="1" shrinkToFit="1"/>
    </xf>
    <xf numFmtId="2" fontId="13" fillId="9" borderId="18" xfId="0" applyNumberFormat="1" applyFont="1" applyFill="1" applyBorder="1" applyAlignment="1">
      <alignment horizontal="left" vertical="center" wrapText="1" shrinkToFit="1"/>
    </xf>
    <xf numFmtId="37" fontId="4" fillId="16" borderId="3" xfId="4" applyNumberFormat="1" applyFont="1" applyFill="1" applyBorder="1" applyAlignment="1">
      <alignment horizontal="center" vertical="center" wrapText="1"/>
    </xf>
    <xf numFmtId="3" fontId="4" fillId="16" borderId="3" xfId="0" applyNumberFormat="1" applyFont="1" applyFill="1" applyBorder="1" applyAlignment="1">
      <alignment horizontal="center" vertical="center" wrapText="1"/>
    </xf>
    <xf numFmtId="2" fontId="4" fillId="16" borderId="4" xfId="0" applyNumberFormat="1" applyFont="1" applyFill="1" applyBorder="1" applyAlignment="1">
      <alignment horizontal="center" vertical="center" wrapText="1"/>
    </xf>
    <xf numFmtId="2" fontId="0" fillId="0" borderId="14" xfId="0" applyNumberFormat="1" applyBorder="1" applyAlignment="1">
      <alignment horizontal="center" vertical="center"/>
    </xf>
    <xf numFmtId="2" fontId="13" fillId="9" borderId="76" xfId="0" applyNumberFormat="1" applyFont="1" applyFill="1" applyBorder="1" applyAlignment="1">
      <alignment vertical="center" wrapText="1" shrinkToFit="1"/>
    </xf>
    <xf numFmtId="2" fontId="13" fillId="8" borderId="18" xfId="0" applyNumberFormat="1" applyFont="1" applyFill="1" applyBorder="1" applyAlignment="1">
      <alignment horizontal="left" vertical="center" wrapText="1" shrinkToFit="1"/>
    </xf>
    <xf numFmtId="2" fontId="13" fillId="2" borderId="76" xfId="0" applyNumberFormat="1" applyFont="1" applyFill="1" applyBorder="1" applyAlignment="1">
      <alignment horizontal="right" vertical="center" wrapText="1" shrinkToFit="1"/>
    </xf>
    <xf numFmtId="1" fontId="13" fillId="9" borderId="76" xfId="0" applyNumberFormat="1" applyFont="1" applyFill="1" applyBorder="1" applyAlignment="1">
      <alignment vertical="center" wrapText="1" shrinkToFit="1"/>
    </xf>
    <xf numFmtId="1" fontId="0" fillId="0" borderId="0" xfId="0" applyNumberFormat="1" applyAlignment="1">
      <alignment horizontal="center" vertical="center"/>
    </xf>
    <xf numFmtId="1" fontId="22" fillId="0" borderId="0" xfId="0" applyNumberFormat="1" applyFont="1"/>
    <xf numFmtId="1" fontId="3" fillId="0" borderId="0" xfId="0" applyNumberFormat="1" applyFont="1" applyAlignment="1">
      <alignment horizontal="center" vertical="center"/>
    </xf>
    <xf numFmtId="1" fontId="12" fillId="0" borderId="0" xfId="0" applyNumberFormat="1" applyFont="1"/>
    <xf numFmtId="1" fontId="13" fillId="9" borderId="18" xfId="0" applyNumberFormat="1" applyFont="1" applyFill="1" applyBorder="1" applyAlignment="1">
      <alignment horizontal="left" vertical="center" wrapText="1" shrinkToFit="1"/>
    </xf>
    <xf numFmtId="1" fontId="13" fillId="8" borderId="18" xfId="0" applyNumberFormat="1" applyFont="1" applyFill="1" applyBorder="1" applyAlignment="1">
      <alignment horizontal="left" vertical="center" wrapText="1" shrinkToFit="1"/>
    </xf>
    <xf numFmtId="1" fontId="13" fillId="2" borderId="76" xfId="0" applyNumberFormat="1" applyFont="1" applyFill="1" applyBorder="1" applyAlignment="1">
      <alignment horizontal="right" vertical="center" wrapText="1" shrinkToFit="1"/>
    </xf>
    <xf numFmtId="166" fontId="13" fillId="9" borderId="76" xfId="0" applyNumberFormat="1" applyFont="1" applyFill="1" applyBorder="1" applyAlignment="1">
      <alignment vertical="center" wrapText="1" shrinkToFit="1"/>
    </xf>
    <xf numFmtId="166" fontId="13" fillId="9" borderId="18" xfId="0" applyNumberFormat="1" applyFont="1" applyFill="1" applyBorder="1" applyAlignment="1">
      <alignment horizontal="left" vertical="center" wrapText="1" shrinkToFit="1"/>
    </xf>
    <xf numFmtId="166" fontId="13" fillId="8" borderId="18" xfId="0" applyNumberFormat="1" applyFont="1" applyFill="1" applyBorder="1" applyAlignment="1">
      <alignment horizontal="left" vertical="center" wrapText="1" shrinkToFit="1"/>
    </xf>
    <xf numFmtId="166" fontId="13" fillId="2" borderId="76" xfId="0" applyNumberFormat="1" applyFont="1" applyFill="1" applyBorder="1" applyAlignment="1">
      <alignment horizontal="right" vertical="center" wrapText="1" shrinkToFit="1"/>
    </xf>
    <xf numFmtId="166" fontId="12" fillId="2" borderId="14" xfId="0" applyNumberFormat="1" applyFont="1" applyFill="1" applyBorder="1" applyAlignment="1">
      <alignment horizontal="center" vertical="center" wrapText="1" shrinkToFit="1"/>
    </xf>
    <xf numFmtId="166" fontId="5" fillId="2" borderId="14" xfId="0" applyNumberFormat="1" applyFont="1" applyFill="1" applyBorder="1" applyAlignment="1">
      <alignment horizontal="center" vertical="center" wrapText="1" shrinkToFit="1"/>
    </xf>
    <xf numFmtId="166" fontId="22" fillId="0" borderId="0" xfId="0" applyNumberFormat="1" applyFont="1" applyAlignment="1">
      <alignment wrapText="1"/>
    </xf>
    <xf numFmtId="166" fontId="3" fillId="0" borderId="0" xfId="0" applyNumberFormat="1" applyFont="1" applyAlignment="1">
      <alignment horizontal="center" vertical="center" wrapText="1"/>
    </xf>
    <xf numFmtId="166" fontId="12" fillId="0" borderId="0" xfId="0" applyNumberFormat="1" applyFont="1" applyAlignment="1">
      <alignment wrapText="1"/>
    </xf>
    <xf numFmtId="2" fontId="22" fillId="8" borderId="1" xfId="0" applyNumberFormat="1" applyFont="1" applyFill="1" applyBorder="1" applyAlignment="1">
      <alignment horizontal="center" vertical="center" wrapText="1" shrinkToFit="1"/>
    </xf>
    <xf numFmtId="1" fontId="6" fillId="0" borderId="1" xfId="0" applyNumberFormat="1" applyFont="1" applyBorder="1" applyAlignment="1">
      <alignment horizontal="center" vertical="center" wrapText="1" shrinkToFit="1"/>
    </xf>
    <xf numFmtId="2" fontId="5" fillId="8" borderId="1" xfId="0" applyNumberFormat="1" applyFont="1" applyFill="1" applyBorder="1" applyAlignment="1">
      <alignment horizontal="center" vertical="center" wrapText="1" shrinkToFit="1"/>
    </xf>
    <xf numFmtId="2" fontId="6" fillId="8" borderId="1" xfId="0" applyNumberFormat="1" applyFont="1" applyFill="1" applyBorder="1" applyAlignment="1">
      <alignment horizontal="center" vertical="center" wrapText="1" shrinkToFit="1"/>
    </xf>
    <xf numFmtId="2" fontId="14" fillId="9" borderId="1" xfId="0" applyNumberFormat="1" applyFont="1" applyFill="1" applyBorder="1" applyAlignment="1">
      <alignment horizontal="center" vertical="center" wrapText="1" shrinkToFit="1"/>
    </xf>
    <xf numFmtId="2" fontId="0" fillId="3" borderId="1" xfId="0" applyNumberFormat="1" applyFill="1" applyBorder="1" applyAlignment="1">
      <alignment horizontal="center" vertical="center" wrapText="1" shrinkToFit="1"/>
    </xf>
    <xf numFmtId="2" fontId="6" fillId="0" borderId="0" xfId="0" applyNumberFormat="1" applyFont="1"/>
    <xf numFmtId="2" fontId="0" fillId="0" borderId="0" xfId="0" applyNumberFormat="1"/>
    <xf numFmtId="2" fontId="23" fillId="0" borderId="0" xfId="0" applyNumberFormat="1" applyFont="1"/>
    <xf numFmtId="2" fontId="13" fillId="14" borderId="1" xfId="0" applyNumberFormat="1" applyFont="1" applyFill="1" applyBorder="1" applyAlignment="1">
      <alignment horizontal="center" vertical="center" wrapText="1" shrinkToFit="1"/>
    </xf>
    <xf numFmtId="2" fontId="6" fillId="0" borderId="0" xfId="0" applyNumberFormat="1" applyFont="1" applyAlignment="1">
      <alignment horizontal="center" vertical="center"/>
    </xf>
    <xf numFmtId="2" fontId="13" fillId="0" borderId="0" xfId="0" applyNumberFormat="1" applyFont="1"/>
    <xf numFmtId="2" fontId="13" fillId="14" borderId="76" xfId="0" applyNumberFormat="1" applyFont="1" applyFill="1" applyBorder="1" applyAlignment="1">
      <alignment horizontal="center" vertical="center" wrapText="1" shrinkToFit="1"/>
    </xf>
    <xf numFmtId="166" fontId="12" fillId="14" borderId="14" xfId="0" applyNumberFormat="1" applyFont="1" applyFill="1" applyBorder="1" applyAlignment="1">
      <alignment horizontal="center" vertical="center" wrapText="1" shrinkToFit="1"/>
    </xf>
    <xf numFmtId="166" fontId="0" fillId="0" borderId="1" xfId="0" applyNumberFormat="1" applyBorder="1" applyAlignment="1">
      <alignment horizontal="center" vertical="center" wrapText="1" shrinkToFit="1"/>
    </xf>
    <xf numFmtId="166" fontId="12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3" fontId="13" fillId="9" borderId="1" xfId="0" applyNumberFormat="1" applyFont="1" applyFill="1" applyBorder="1" applyAlignment="1">
      <alignment horizontal="center" vertical="center" wrapText="1" shrinkToFit="1"/>
    </xf>
    <xf numFmtId="166" fontId="40" fillId="9" borderId="1" xfId="0" applyNumberFormat="1" applyFont="1" applyFill="1" applyBorder="1" applyAlignment="1">
      <alignment horizontal="center" vertical="center" wrapText="1" shrinkToFit="1"/>
    </xf>
    <xf numFmtId="164" fontId="22" fillId="9" borderId="1" xfId="0" applyNumberFormat="1" applyFont="1" applyFill="1" applyBorder="1" applyAlignment="1">
      <alignment horizontal="center" vertical="center" wrapText="1" shrinkToFit="1"/>
    </xf>
    <xf numFmtId="2" fontId="41" fillId="9" borderId="1" xfId="0" applyNumberFormat="1" applyFont="1" applyFill="1" applyBorder="1" applyAlignment="1">
      <alignment horizontal="center" vertical="center" wrapText="1" shrinkToFit="1"/>
    </xf>
    <xf numFmtId="0" fontId="13" fillId="8" borderId="16" xfId="0" applyFont="1" applyFill="1" applyBorder="1" applyAlignment="1">
      <alignment vertical="center" shrinkToFit="1"/>
    </xf>
    <xf numFmtId="166" fontId="13" fillId="9" borderId="18" xfId="0" applyNumberFormat="1" applyFont="1" applyFill="1" applyBorder="1" applyAlignment="1">
      <alignment vertical="center" wrapText="1" shrinkToFit="1"/>
    </xf>
    <xf numFmtId="2" fontId="13" fillId="9" borderId="18" xfId="0" applyNumberFormat="1" applyFont="1" applyFill="1" applyBorder="1" applyAlignment="1">
      <alignment vertical="center" wrapText="1" shrinkToFit="1"/>
    </xf>
    <xf numFmtId="166" fontId="12" fillId="9" borderId="1" xfId="0" applyNumberFormat="1" applyFont="1" applyFill="1" applyBorder="1" applyAlignment="1">
      <alignment horizontal="center" vertical="center" wrapText="1" shrinkToFit="1"/>
    </xf>
    <xf numFmtId="166" fontId="13" fillId="9" borderId="13" xfId="0" applyNumberFormat="1" applyFont="1" applyFill="1" applyBorder="1" applyAlignment="1">
      <alignment horizontal="center" vertical="center" wrapText="1" shrinkToFit="1"/>
    </xf>
    <xf numFmtId="166" fontId="13" fillId="9" borderId="85" xfId="0" applyNumberFormat="1" applyFont="1" applyFill="1" applyBorder="1" applyAlignment="1">
      <alignment horizontal="center" vertical="center" wrapText="1" shrinkToFit="1"/>
    </xf>
    <xf numFmtId="166" fontId="23" fillId="8" borderId="15" xfId="0" applyNumberFormat="1" applyFont="1" applyFill="1" applyBorder="1" applyAlignment="1">
      <alignment horizontal="center" vertical="center" wrapText="1" shrinkToFit="1"/>
    </xf>
    <xf numFmtId="2" fontId="23" fillId="8" borderId="15" xfId="0" applyNumberFormat="1" applyFont="1" applyFill="1" applyBorder="1" applyAlignment="1">
      <alignment horizontal="center" vertical="center" wrapText="1" shrinkToFit="1"/>
    </xf>
    <xf numFmtId="166" fontId="23" fillId="8" borderId="13" xfId="0" applyNumberFormat="1" applyFont="1" applyFill="1" applyBorder="1" applyAlignment="1">
      <alignment horizontal="center" vertical="center" wrapText="1" shrinkToFit="1"/>
    </xf>
    <xf numFmtId="166" fontId="23" fillId="8" borderId="85" xfId="0" applyNumberFormat="1" applyFont="1" applyFill="1" applyBorder="1" applyAlignment="1">
      <alignment horizontal="center" vertical="center" wrapText="1" shrinkToFit="1"/>
    </xf>
    <xf numFmtId="0" fontId="13" fillId="7" borderId="76" xfId="0" applyFont="1" applyFill="1" applyBorder="1" applyAlignment="1">
      <alignment vertical="center" wrapText="1" shrinkToFit="1"/>
    </xf>
    <xf numFmtId="1" fontId="13" fillId="7" borderId="76" xfId="0" applyNumberFormat="1" applyFont="1" applyFill="1" applyBorder="1" applyAlignment="1">
      <alignment vertical="center" wrapText="1" shrinkToFit="1"/>
    </xf>
    <xf numFmtId="166" fontId="13" fillId="7" borderId="76" xfId="0" applyNumberFormat="1" applyFont="1" applyFill="1" applyBorder="1" applyAlignment="1">
      <alignment vertical="center" wrapText="1" shrinkToFit="1"/>
    </xf>
    <xf numFmtId="2" fontId="13" fillId="7" borderId="76" xfId="0" applyNumberFormat="1" applyFont="1" applyFill="1" applyBorder="1" applyAlignment="1">
      <alignment vertical="center" wrapText="1" shrinkToFit="1"/>
    </xf>
    <xf numFmtId="166" fontId="23" fillId="7" borderId="1" xfId="0" applyNumberFormat="1" applyFont="1" applyFill="1" applyBorder="1" applyAlignment="1">
      <alignment horizontal="center" vertical="center" wrapText="1" shrinkToFit="1"/>
    </xf>
    <xf numFmtId="2" fontId="23" fillId="7" borderId="1" xfId="0" applyNumberFormat="1" applyFont="1" applyFill="1" applyBorder="1" applyAlignment="1">
      <alignment horizontal="center" vertical="center" wrapText="1" shrinkToFit="1"/>
    </xf>
    <xf numFmtId="166" fontId="22" fillId="7" borderId="1" xfId="0" applyNumberFormat="1" applyFont="1" applyFill="1" applyBorder="1" applyAlignment="1">
      <alignment horizontal="center" vertical="center" wrapText="1" shrinkToFit="1"/>
    </xf>
    <xf numFmtId="2" fontId="22" fillId="7" borderId="1" xfId="0" applyNumberFormat="1" applyFont="1" applyFill="1" applyBorder="1" applyAlignment="1">
      <alignment horizontal="center" vertical="center" wrapText="1" shrinkToFit="1"/>
    </xf>
    <xf numFmtId="2" fontId="6" fillId="0" borderId="10" xfId="0" applyNumberFormat="1" applyFont="1" applyBorder="1" applyAlignment="1">
      <alignment horizontal="center" vertical="center"/>
    </xf>
    <xf numFmtId="1" fontId="13" fillId="10" borderId="1" xfId="0" applyNumberFormat="1" applyFont="1" applyFill="1" applyBorder="1" applyAlignment="1">
      <alignment horizontal="center" vertical="center" wrapText="1" shrinkToFit="1"/>
    </xf>
    <xf numFmtId="1" fontId="23" fillId="8" borderId="1" xfId="0" applyNumberFormat="1" applyFont="1" applyFill="1" applyBorder="1" applyAlignment="1">
      <alignment horizontal="center" vertical="center" wrapText="1" shrinkToFit="1"/>
    </xf>
    <xf numFmtId="1" fontId="14" fillId="0" borderId="86" xfId="0" applyNumberFormat="1" applyFont="1" applyBorder="1" applyAlignment="1">
      <alignment horizontal="center" vertical="center" wrapText="1" shrinkToFit="1"/>
    </xf>
    <xf numFmtId="1" fontId="0" fillId="0" borderId="14" xfId="0" applyNumberFormat="1" applyBorder="1" applyAlignment="1">
      <alignment horizontal="center" vertical="center"/>
    </xf>
    <xf numFmtId="1" fontId="13" fillId="9" borderId="18" xfId="0" applyNumberFormat="1" applyFont="1" applyFill="1" applyBorder="1" applyAlignment="1">
      <alignment vertical="center" wrapText="1" shrinkToFit="1"/>
    </xf>
    <xf numFmtId="1" fontId="7" fillId="10" borderId="1" xfId="0" applyNumberFormat="1" applyFont="1" applyFill="1" applyBorder="1" applyAlignment="1">
      <alignment horizontal="center" vertical="center" wrapText="1" shrinkToFit="1"/>
    </xf>
    <xf numFmtId="1" fontId="13" fillId="9" borderId="1" xfId="0" applyNumberFormat="1" applyFont="1" applyFill="1" applyBorder="1" applyAlignment="1">
      <alignment horizontal="center" vertical="center" wrapText="1" shrinkToFit="1"/>
    </xf>
    <xf numFmtId="1" fontId="0" fillId="0" borderId="0" xfId="0" applyNumberFormat="1"/>
    <xf numFmtId="0" fontId="4" fillId="16" borderId="94" xfId="0" applyFont="1" applyFill="1" applyBorder="1" applyAlignment="1">
      <alignment horizontal="center" vertical="center"/>
    </xf>
    <xf numFmtId="4" fontId="4" fillId="3" borderId="8" xfId="0" applyNumberFormat="1" applyFont="1" applyFill="1" applyBorder="1" applyAlignment="1">
      <alignment horizontal="center" vertical="center"/>
    </xf>
    <xf numFmtId="4" fontId="4" fillId="3" borderId="9" xfId="3" applyNumberFormat="1" applyFont="1" applyFill="1" applyBorder="1" applyAlignment="1">
      <alignment horizontal="center" vertical="center"/>
    </xf>
    <xf numFmtId="4" fontId="4" fillId="3" borderId="84" xfId="0" applyNumberFormat="1" applyFont="1" applyFill="1" applyBorder="1" applyAlignment="1">
      <alignment horizontal="center" vertical="center" wrapText="1"/>
    </xf>
    <xf numFmtId="4" fontId="4" fillId="3" borderId="90" xfId="0" applyNumberFormat="1" applyFont="1" applyFill="1" applyBorder="1" applyAlignment="1">
      <alignment horizontal="center" vertical="center" wrapText="1"/>
    </xf>
    <xf numFmtId="0" fontId="4" fillId="16" borderId="92" xfId="0" applyFont="1" applyFill="1" applyBorder="1" applyAlignment="1">
      <alignment horizontal="left" vertical="center" wrapText="1"/>
    </xf>
    <xf numFmtId="0" fontId="4" fillId="16" borderId="3" xfId="0" applyFont="1" applyFill="1" applyBorder="1" applyAlignment="1">
      <alignment horizontal="center" vertical="center" wrapText="1"/>
    </xf>
    <xf numFmtId="0" fontId="4" fillId="16" borderId="4" xfId="0" applyFont="1" applyFill="1" applyBorder="1" applyAlignment="1">
      <alignment horizontal="center" vertical="center" wrapText="1"/>
    </xf>
    <xf numFmtId="3" fontId="0" fillId="3" borderId="6" xfId="4" applyNumberFormat="1" applyFont="1" applyFill="1" applyBorder="1" applyAlignment="1">
      <alignment horizontal="center" vertical="center"/>
    </xf>
    <xf numFmtId="3" fontId="4" fillId="3" borderId="91" xfId="4" applyNumberFormat="1" applyFont="1" applyFill="1" applyBorder="1" applyAlignment="1">
      <alignment horizontal="center" vertical="center" wrapText="1"/>
    </xf>
    <xf numFmtId="3" fontId="0" fillId="3" borderId="9" xfId="4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1" fontId="22" fillId="0" borderId="0" xfId="0" applyNumberFormat="1" applyFont="1" applyAlignment="1">
      <alignment horizontal="left" vertical="center"/>
    </xf>
    <xf numFmtId="0" fontId="4" fillId="16" borderId="92" xfId="0" applyFont="1" applyFill="1" applyBorder="1" applyAlignment="1">
      <alignment horizontal="center" vertical="center" wrapText="1"/>
    </xf>
    <xf numFmtId="0" fontId="0" fillId="3" borderId="10" xfId="0" applyFill="1" applyBorder="1"/>
    <xf numFmtId="3" fontId="0" fillId="3" borderId="92" xfId="4" applyNumberFormat="1" applyFont="1" applyFill="1" applyBorder="1" applyAlignment="1">
      <alignment horizontal="center" vertical="center"/>
    </xf>
    <xf numFmtId="0" fontId="0" fillId="3" borderId="93" xfId="0" applyFill="1" applyBorder="1"/>
    <xf numFmtId="0" fontId="0" fillId="3" borderId="91" xfId="0" applyFill="1" applyBorder="1"/>
    <xf numFmtId="2" fontId="4" fillId="16" borderId="92" xfId="0" applyNumberFormat="1" applyFont="1" applyFill="1" applyBorder="1" applyAlignment="1">
      <alignment horizontal="center" vertical="center" wrapText="1"/>
    </xf>
    <xf numFmtId="1" fontId="0" fillId="3" borderId="92" xfId="4" applyNumberFormat="1" applyFont="1" applyFill="1" applyBorder="1" applyAlignment="1">
      <alignment horizontal="center" vertical="center"/>
    </xf>
    <xf numFmtId="1" fontId="0" fillId="3" borderId="93" xfId="0" applyNumberFormat="1" applyFill="1" applyBorder="1"/>
    <xf numFmtId="1" fontId="0" fillId="3" borderId="91" xfId="0" applyNumberFormat="1" applyFill="1" applyBorder="1"/>
    <xf numFmtId="3" fontId="0" fillId="3" borderId="93" xfId="0" applyNumberFormat="1" applyFill="1" applyBorder="1"/>
    <xf numFmtId="3" fontId="0" fillId="3" borderId="91" xfId="0" applyNumberFormat="1" applyFill="1" applyBorder="1"/>
    <xf numFmtId="0" fontId="4" fillId="12" borderId="92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0" fillId="3" borderId="1" xfId="0" applyFill="1" applyBorder="1"/>
    <xf numFmtId="166" fontId="6" fillId="0" borderId="76" xfId="0" applyNumberFormat="1" applyFont="1" applyBorder="1" applyAlignment="1">
      <alignment horizontal="center" vertical="center" wrapText="1" shrinkToFit="1"/>
    </xf>
    <xf numFmtId="165" fontId="0" fillId="3" borderId="92" xfId="4" applyNumberFormat="1" applyFont="1" applyFill="1" applyBorder="1" applyAlignment="1">
      <alignment horizontal="center" vertical="center"/>
    </xf>
    <xf numFmtId="165" fontId="0" fillId="3" borderId="4" xfId="4" applyNumberFormat="1" applyFont="1" applyFill="1" applyBorder="1" applyAlignment="1">
      <alignment horizontal="center" vertical="center"/>
    </xf>
    <xf numFmtId="165" fontId="0" fillId="3" borderId="6" xfId="4" applyNumberFormat="1" applyFont="1" applyFill="1" applyBorder="1" applyAlignment="1">
      <alignment horizontal="center" vertical="center"/>
    </xf>
    <xf numFmtId="165" fontId="0" fillId="3" borderId="9" xfId="4" applyNumberFormat="1" applyFont="1" applyFill="1" applyBorder="1" applyAlignment="1">
      <alignment horizontal="center" vertical="center"/>
    </xf>
    <xf numFmtId="165" fontId="0" fillId="3" borderId="93" xfId="0" applyNumberFormat="1" applyFill="1" applyBorder="1"/>
    <xf numFmtId="165" fontId="0" fillId="3" borderId="91" xfId="0" applyNumberFormat="1" applyFill="1" applyBorder="1"/>
    <xf numFmtId="2" fontId="0" fillId="0" borderId="0" xfId="0" applyNumberFormat="1" applyAlignment="1">
      <alignment horizontal="center" vertical="center" wrapText="1"/>
    </xf>
    <xf numFmtId="2" fontId="5" fillId="12" borderId="95" xfId="0" applyNumberFormat="1" applyFont="1" applyFill="1" applyBorder="1" applyAlignment="1">
      <alignment horizontal="center" vertical="center" wrapText="1" shrinkToFit="1"/>
    </xf>
    <xf numFmtId="166" fontId="5" fillId="2" borderId="76" xfId="0" applyNumberFormat="1" applyFont="1" applyFill="1" applyBorder="1" applyAlignment="1">
      <alignment horizontal="center" vertical="center" wrapText="1" shrinkToFit="1"/>
    </xf>
    <xf numFmtId="166" fontId="8" fillId="9" borderId="12" xfId="0" applyNumberFormat="1" applyFont="1" applyFill="1" applyBorder="1" applyAlignment="1">
      <alignment horizontal="center" vertical="center" wrapText="1" shrinkToFit="1"/>
    </xf>
    <xf numFmtId="2" fontId="5" fillId="9" borderId="15" xfId="0" applyNumberFormat="1" applyFont="1" applyFill="1" applyBorder="1" applyAlignment="1">
      <alignment horizontal="center" vertical="center" wrapText="1" shrinkToFit="1"/>
    </xf>
    <xf numFmtId="2" fontId="4" fillId="12" borderId="97" xfId="0" applyNumberFormat="1" applyFont="1" applyFill="1" applyBorder="1" applyAlignment="1">
      <alignment horizontal="center" vertical="center" wrapText="1" shrinkToFit="1"/>
    </xf>
    <xf numFmtId="2" fontId="6" fillId="9" borderId="12" xfId="0" applyNumberFormat="1" applyFont="1" applyFill="1" applyBorder="1" applyAlignment="1">
      <alignment horizontal="center" vertical="center" wrapText="1" shrinkToFit="1"/>
    </xf>
    <xf numFmtId="2" fontId="7" fillId="9" borderId="96" xfId="0" applyNumberFormat="1" applyFont="1" applyFill="1" applyBorder="1" applyAlignment="1">
      <alignment horizontal="center" vertical="center" wrapText="1" shrinkToFit="1"/>
    </xf>
    <xf numFmtId="166" fontId="7" fillId="2" borderId="98" xfId="0" applyNumberFormat="1" applyFont="1" applyFill="1" applyBorder="1" applyAlignment="1">
      <alignment horizontal="center" vertical="center" wrapText="1" shrinkToFit="1"/>
    </xf>
    <xf numFmtId="2" fontId="5" fillId="24" borderId="1" xfId="0" applyNumberFormat="1" applyFont="1" applyFill="1" applyBorder="1" applyAlignment="1">
      <alignment horizontal="center" vertical="center" wrapText="1" shrinkToFit="1"/>
    </xf>
    <xf numFmtId="0" fontId="5" fillId="24" borderId="1" xfId="0" applyFont="1" applyFill="1" applyBorder="1" applyAlignment="1">
      <alignment horizontal="center" vertical="center" wrapText="1" shrinkToFit="1"/>
    </xf>
    <xf numFmtId="2" fontId="5" fillId="9" borderId="98" xfId="0" applyNumberFormat="1" applyFont="1" applyFill="1" applyBorder="1" applyAlignment="1">
      <alignment horizontal="center" vertical="center" wrapText="1" shrinkToFit="1"/>
    </xf>
    <xf numFmtId="0" fontId="5" fillId="2" borderId="76" xfId="0" applyFont="1" applyFill="1" applyBorder="1" applyAlignment="1">
      <alignment horizontal="center" vertical="center" wrapText="1" shrinkToFit="1"/>
    </xf>
    <xf numFmtId="0" fontId="6" fillId="0" borderId="76" xfId="0" applyFont="1" applyBorder="1" applyAlignment="1">
      <alignment horizontal="center" vertical="center" wrapText="1" shrinkToFit="1"/>
    </xf>
    <xf numFmtId="0" fontId="6" fillId="0" borderId="99" xfId="0" applyFont="1" applyBorder="1" applyAlignment="1">
      <alignment horizontal="center" vertical="center" wrapText="1" shrinkToFit="1"/>
    </xf>
    <xf numFmtId="0" fontId="6" fillId="0" borderId="76" xfId="0" applyFont="1" applyBorder="1" applyAlignment="1">
      <alignment horizontal="center" vertical="center" wrapText="1"/>
    </xf>
    <xf numFmtId="0" fontId="6" fillId="3" borderId="76" xfId="0" applyFont="1" applyFill="1" applyBorder="1" applyAlignment="1">
      <alignment horizontal="center" vertical="center" wrapText="1" shrinkToFit="1"/>
    </xf>
    <xf numFmtId="0" fontId="6" fillId="0" borderId="99" xfId="0" applyFont="1" applyBorder="1" applyAlignment="1">
      <alignment horizontal="center" vertical="center" wrapText="1"/>
    </xf>
    <xf numFmtId="0" fontId="6" fillId="3" borderId="76" xfId="0" applyFont="1" applyFill="1" applyBorder="1" applyAlignment="1">
      <alignment horizontal="center" vertical="center" wrapText="1"/>
    </xf>
    <xf numFmtId="0" fontId="6" fillId="3" borderId="99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 shrinkToFit="1"/>
    </xf>
    <xf numFmtId="0" fontId="13" fillId="2" borderId="16" xfId="0" applyFont="1" applyFill="1" applyBorder="1" applyAlignment="1">
      <alignment horizontal="center" vertical="center" wrapText="1" shrinkToFit="1"/>
    </xf>
    <xf numFmtId="0" fontId="13" fillId="2" borderId="16" xfId="0" applyFont="1" applyFill="1" applyBorder="1" applyAlignment="1">
      <alignment horizontal="left" vertical="center" wrapText="1" shrinkToFit="1"/>
    </xf>
    <xf numFmtId="0" fontId="13" fillId="2" borderId="18" xfId="0" applyFont="1" applyFill="1" applyBorder="1" applyAlignment="1">
      <alignment horizontal="right" vertical="center" wrapText="1" shrinkToFit="1"/>
    </xf>
    <xf numFmtId="3" fontId="13" fillId="2" borderId="18" xfId="0" applyNumberFormat="1" applyFont="1" applyFill="1" applyBorder="1" applyAlignment="1">
      <alignment horizontal="center" vertical="center" wrapText="1" shrinkToFit="1"/>
    </xf>
    <xf numFmtId="3" fontId="13" fillId="2" borderId="12" xfId="0" applyNumberFormat="1" applyFont="1" applyFill="1" applyBorder="1" applyAlignment="1">
      <alignment horizontal="center" vertical="center" wrapText="1" shrinkToFit="1"/>
    </xf>
    <xf numFmtId="165" fontId="13" fillId="2" borderId="12" xfId="0" applyNumberFormat="1" applyFont="1" applyFill="1" applyBorder="1" applyAlignment="1">
      <alignment horizontal="center" vertical="center" wrapText="1" shrinkToFit="1"/>
    </xf>
    <xf numFmtId="3" fontId="13" fillId="10" borderId="12" xfId="0" applyNumberFormat="1" applyFont="1" applyFill="1" applyBorder="1" applyAlignment="1">
      <alignment horizontal="center" vertical="center" wrapText="1" shrinkToFit="1"/>
    </xf>
    <xf numFmtId="3" fontId="12" fillId="2" borderId="12" xfId="0" applyNumberFormat="1" applyFont="1" applyFill="1" applyBorder="1" applyAlignment="1">
      <alignment horizontal="center" vertical="center" wrapText="1" shrinkToFit="1"/>
    </xf>
    <xf numFmtId="166" fontId="12" fillId="2" borderId="12" xfId="0" applyNumberFormat="1" applyFont="1" applyFill="1" applyBorder="1" applyAlignment="1">
      <alignment horizontal="center" vertical="center" wrapText="1" shrinkToFit="1"/>
    </xf>
    <xf numFmtId="164" fontId="12" fillId="2" borderId="12" xfId="0" applyNumberFormat="1" applyFont="1" applyFill="1" applyBorder="1" applyAlignment="1">
      <alignment horizontal="center" vertical="center" wrapText="1" shrinkToFit="1"/>
    </xf>
    <xf numFmtId="0" fontId="12" fillId="2" borderId="12" xfId="0" applyFont="1" applyFill="1" applyBorder="1" applyAlignment="1">
      <alignment horizontal="center" vertical="center" wrapText="1" shrinkToFit="1"/>
    </xf>
    <xf numFmtId="2" fontId="12" fillId="2" borderId="12" xfId="0" applyNumberFormat="1" applyFont="1" applyFill="1" applyBorder="1" applyAlignment="1">
      <alignment horizontal="center" vertical="center" wrapText="1" shrinkToFit="1"/>
    </xf>
    <xf numFmtId="2" fontId="13" fillId="2" borderId="12" xfId="0" applyNumberFormat="1" applyFont="1" applyFill="1" applyBorder="1" applyAlignment="1">
      <alignment horizontal="center" vertical="center" wrapText="1" shrinkToFit="1"/>
    </xf>
    <xf numFmtId="2" fontId="33" fillId="2" borderId="12" xfId="0" applyNumberFormat="1" applyFont="1" applyFill="1" applyBorder="1" applyAlignment="1">
      <alignment horizontal="center" vertical="center" wrapText="1" shrinkToFit="1"/>
    </xf>
    <xf numFmtId="166" fontId="13" fillId="2" borderId="12" xfId="0" applyNumberFormat="1" applyFont="1" applyFill="1" applyBorder="1" applyAlignment="1">
      <alignment horizontal="center" vertical="center" wrapText="1" shrinkToFit="1"/>
    </xf>
    <xf numFmtId="1" fontId="12" fillId="2" borderId="1" xfId="0" applyNumberFormat="1" applyFont="1" applyFill="1" applyBorder="1" applyAlignment="1">
      <alignment horizontal="center" vertical="center" wrapText="1" shrinkToFit="1"/>
    </xf>
    <xf numFmtId="1" fontId="12" fillId="2" borderId="12" xfId="0" applyNumberFormat="1" applyFont="1" applyFill="1" applyBorder="1" applyAlignment="1">
      <alignment horizontal="center" vertical="center" wrapText="1" shrinkToFit="1"/>
    </xf>
    <xf numFmtId="0" fontId="43" fillId="25" borderId="100" xfId="0" applyFont="1" applyFill="1" applyBorder="1" applyAlignment="1">
      <alignment vertical="center"/>
    </xf>
    <xf numFmtId="0" fontId="43" fillId="25" borderId="100" xfId="0" applyFont="1" applyFill="1" applyBorder="1" applyAlignment="1">
      <alignment horizontal="left" vertical="center"/>
    </xf>
    <xf numFmtId="0" fontId="43" fillId="25" borderId="100" xfId="0" applyFont="1" applyFill="1" applyBorder="1" applyAlignment="1">
      <alignment horizontal="center" vertical="center"/>
    </xf>
    <xf numFmtId="1" fontId="43" fillId="25" borderId="100" xfId="0" applyNumberFormat="1" applyFont="1" applyFill="1" applyBorder="1" applyAlignment="1">
      <alignment horizontal="center" vertical="center"/>
    </xf>
    <xf numFmtId="3" fontId="43" fillId="25" borderId="100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vertical="center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/>
    </xf>
    <xf numFmtId="1" fontId="43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center" vertical="center"/>
    </xf>
    <xf numFmtId="0" fontId="43" fillId="25" borderId="0" xfId="0" applyFont="1" applyFill="1" applyAlignment="1">
      <alignment vertical="center"/>
    </xf>
    <xf numFmtId="0" fontId="43" fillId="25" borderId="0" xfId="0" applyFont="1" applyFill="1" applyAlignment="1">
      <alignment horizontal="left" vertical="center"/>
    </xf>
    <xf numFmtId="0" fontId="43" fillId="25" borderId="0" xfId="0" applyFont="1" applyFill="1" applyAlignment="1">
      <alignment horizontal="center" vertical="center"/>
    </xf>
    <xf numFmtId="1" fontId="43" fillId="25" borderId="0" xfId="0" applyNumberFormat="1" applyFont="1" applyFill="1" applyAlignment="1">
      <alignment horizontal="center" vertical="center"/>
    </xf>
    <xf numFmtId="3" fontId="43" fillId="25" borderId="0" xfId="0" applyNumberFormat="1" applyFont="1" applyFill="1" applyAlignment="1">
      <alignment horizontal="center" vertical="center"/>
    </xf>
    <xf numFmtId="0" fontId="43" fillId="0" borderId="101" xfId="0" applyFont="1" applyBorder="1" applyAlignment="1">
      <alignment vertical="center"/>
    </xf>
    <xf numFmtId="0" fontId="43" fillId="0" borderId="101" xfId="0" applyFont="1" applyBorder="1" applyAlignment="1">
      <alignment horizontal="left" vertical="center"/>
    </xf>
    <xf numFmtId="0" fontId="43" fillId="0" borderId="101" xfId="0" applyFont="1" applyBorder="1" applyAlignment="1">
      <alignment horizontal="center" vertical="center"/>
    </xf>
    <xf numFmtId="1" fontId="43" fillId="0" borderId="101" xfId="0" applyNumberFormat="1" applyFont="1" applyBorder="1" applyAlignment="1">
      <alignment horizontal="center" vertical="center"/>
    </xf>
    <xf numFmtId="3" fontId="43" fillId="0" borderId="101" xfId="0" applyNumberFormat="1" applyFont="1" applyBorder="1" applyAlignment="1">
      <alignment horizontal="center" vertical="center"/>
    </xf>
    <xf numFmtId="0" fontId="13" fillId="9" borderId="85" xfId="0" applyFont="1" applyFill="1" applyBorder="1" applyAlignment="1">
      <alignment vertical="center" wrapText="1" shrinkToFit="1"/>
    </xf>
    <xf numFmtId="0" fontId="13" fillId="9" borderId="85" xfId="0" applyFont="1" applyFill="1" applyBorder="1" applyAlignment="1">
      <alignment vertical="center" shrinkToFit="1"/>
    </xf>
    <xf numFmtId="0" fontId="13" fillId="9" borderId="76" xfId="0" applyFont="1" applyFill="1" applyBorder="1" applyAlignment="1">
      <alignment vertical="center" shrinkToFit="1"/>
    </xf>
    <xf numFmtId="0" fontId="13" fillId="9" borderId="85" xfId="0" applyFont="1" applyFill="1" applyBorder="1" applyAlignment="1">
      <alignment horizontal="left" vertical="center"/>
    </xf>
    <xf numFmtId="0" fontId="13" fillId="9" borderId="85" xfId="0" applyFont="1" applyFill="1" applyBorder="1" applyAlignment="1">
      <alignment vertical="center"/>
    </xf>
    <xf numFmtId="0" fontId="13" fillId="9" borderId="76" xfId="0" applyFont="1" applyFill="1" applyBorder="1" applyAlignment="1">
      <alignment vertical="center"/>
    </xf>
    <xf numFmtId="0" fontId="44" fillId="0" borderId="0" xfId="0" applyFont="1"/>
    <xf numFmtId="0" fontId="44" fillId="0" borderId="0" xfId="0" applyFont="1" applyAlignment="1">
      <alignment horizontal="center"/>
    </xf>
    <xf numFmtId="0" fontId="0" fillId="3" borderId="86" xfId="0" applyFill="1" applyBorder="1"/>
    <xf numFmtId="49" fontId="0" fillId="0" borderId="1" xfId="0" applyNumberFormat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0" fontId="0" fillId="2" borderId="1" xfId="0" applyFill="1" applyBorder="1"/>
    <xf numFmtId="0" fontId="0" fillId="0" borderId="1" xfId="0" applyBorder="1" applyAlignment="1">
      <alignment horizontal="center" vertical="center"/>
    </xf>
    <xf numFmtId="0" fontId="0" fillId="3" borderId="86" xfId="0" applyFill="1" applyBorder="1" applyAlignment="1">
      <alignment horizontal="center" vertical="center"/>
    </xf>
    <xf numFmtId="0" fontId="0" fillId="3" borderId="98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3" fontId="0" fillId="0" borderId="1" xfId="4" applyNumberFormat="1" applyFont="1" applyBorder="1" applyAlignment="1">
      <alignment horizontal="center" vertical="center"/>
    </xf>
    <xf numFmtId="3" fontId="0" fillId="3" borderId="1" xfId="4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98" xfId="0" applyFill="1" applyBorder="1"/>
    <xf numFmtId="166" fontId="2" fillId="0" borderId="1" xfId="0" applyNumberFormat="1" applyFont="1" applyBorder="1" applyAlignment="1">
      <alignment horizontal="center" vertical="center" wrapText="1" shrinkToFit="1"/>
    </xf>
    <xf numFmtId="2" fontId="0" fillId="0" borderId="1" xfId="4" applyNumberFormat="1" applyFont="1" applyFill="1" applyBorder="1" applyAlignment="1">
      <alignment horizontal="center" vertical="center"/>
    </xf>
    <xf numFmtId="0" fontId="6" fillId="0" borderId="76" xfId="1" applyFont="1" applyFill="1" applyBorder="1" applyAlignment="1">
      <alignment horizontal="center" vertical="center" wrapText="1"/>
    </xf>
    <xf numFmtId="0" fontId="6" fillId="0" borderId="76" xfId="2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center"/>
    </xf>
    <xf numFmtId="3" fontId="2" fillId="0" borderId="1" xfId="0" applyNumberFormat="1" applyFont="1" applyBorder="1" applyAlignment="1">
      <alignment horizontal="center" vertical="center" wrapText="1" shrinkToFit="1"/>
    </xf>
    <xf numFmtId="166" fontId="20" fillId="0" borderId="1" xfId="0" applyNumberFormat="1" applyFont="1" applyBorder="1" applyAlignment="1">
      <alignment horizontal="center" vertical="center" wrapText="1" shrinkToFit="1"/>
    </xf>
    <xf numFmtId="166" fontId="2" fillId="3" borderId="1" xfId="0" applyNumberFormat="1" applyFont="1" applyFill="1" applyBorder="1" applyAlignment="1">
      <alignment horizontal="center" vertical="center" wrapText="1" shrinkToFit="1"/>
    </xf>
    <xf numFmtId="166" fontId="2" fillId="0" borderId="0" xfId="0" applyNumberFormat="1" applyFont="1" applyAlignment="1">
      <alignment horizontal="center" vertical="center" wrapText="1" shrinkToFit="1"/>
    </xf>
    <xf numFmtId="0" fontId="44" fillId="0" borderId="0" xfId="0" applyFont="1" applyAlignment="1">
      <alignment horizontal="center" wrapText="1" shrinkToFit="1"/>
    </xf>
    <xf numFmtId="0" fontId="45" fillId="0" borderId="0" xfId="0" applyFont="1" applyAlignment="1">
      <alignment horizontal="left" vertical="center" wrapText="1" shrinkToFit="1"/>
    </xf>
    <xf numFmtId="0" fontId="45" fillId="0" borderId="0" xfId="0" applyFont="1" applyAlignment="1">
      <alignment horizontal="left" vertical="center" wrapText="1"/>
    </xf>
    <xf numFmtId="3" fontId="0" fillId="26" borderId="1" xfId="4" applyNumberFormat="1" applyFont="1" applyFill="1" applyBorder="1" applyAlignment="1">
      <alignment horizontal="center" vertical="center"/>
    </xf>
    <xf numFmtId="0" fontId="0" fillId="3" borderId="102" xfId="0" applyFill="1" applyBorder="1"/>
    <xf numFmtId="0" fontId="0" fillId="3" borderId="103" xfId="0" applyFill="1" applyBorder="1" applyAlignment="1">
      <alignment horizontal="center" vertical="center"/>
    </xf>
    <xf numFmtId="2" fontId="0" fillId="26" borderId="59" xfId="0" applyNumberFormat="1" applyFill="1" applyBorder="1" applyAlignment="1">
      <alignment horizontal="center" vertical="center"/>
    </xf>
    <xf numFmtId="49" fontId="0" fillId="3" borderId="103" xfId="0" applyNumberFormat="1" applyFill="1" applyBorder="1" applyAlignment="1">
      <alignment horizontal="center" vertical="center"/>
    </xf>
    <xf numFmtId="49" fontId="0" fillId="26" borderId="103" xfId="0" applyNumberFormat="1" applyFill="1" applyBorder="1" applyAlignment="1">
      <alignment horizontal="center" vertical="center"/>
    </xf>
    <xf numFmtId="49" fontId="0" fillId="26" borderId="104" xfId="0" applyNumberFormat="1" applyFill="1" applyBorder="1" applyAlignment="1">
      <alignment horizontal="center" vertical="center"/>
    </xf>
    <xf numFmtId="0" fontId="0" fillId="3" borderId="62" xfId="0" applyFill="1" applyBorder="1"/>
    <xf numFmtId="49" fontId="0" fillId="3" borderId="105" xfId="0" applyNumberFormat="1" applyFill="1" applyBorder="1" applyAlignment="1">
      <alignment horizontal="center" vertical="center"/>
    </xf>
    <xf numFmtId="49" fontId="0" fillId="26" borderId="105" xfId="0" applyNumberFormat="1" applyFill="1" applyBorder="1" applyAlignment="1">
      <alignment horizontal="center" vertical="center"/>
    </xf>
    <xf numFmtId="0" fontId="0" fillId="3" borderId="105" xfId="0" applyFill="1" applyBorder="1" applyAlignment="1">
      <alignment horizontal="center" vertical="center"/>
    </xf>
    <xf numFmtId="2" fontId="0" fillId="26" borderId="105" xfId="0" applyNumberFormat="1" applyFill="1" applyBorder="1" applyAlignment="1">
      <alignment horizontal="center" vertical="center"/>
    </xf>
    <xf numFmtId="49" fontId="0" fillId="26" borderId="106" xfId="0" applyNumberFormat="1" applyFill="1" applyBorder="1" applyAlignment="1">
      <alignment horizontal="center" vertical="center"/>
    </xf>
    <xf numFmtId="165" fontId="0" fillId="26" borderId="103" xfId="0" applyNumberFormat="1" applyFill="1" applyBorder="1" applyAlignment="1">
      <alignment horizontal="center" vertical="center"/>
    </xf>
    <xf numFmtId="165" fontId="0" fillId="26" borderId="105" xfId="0" applyNumberFormat="1" applyFill="1" applyBorder="1" applyAlignment="1">
      <alignment horizontal="center" vertical="center"/>
    </xf>
    <xf numFmtId="3" fontId="0" fillId="26" borderId="103" xfId="4" applyNumberFormat="1" applyFont="1" applyFill="1" applyBorder="1" applyAlignment="1">
      <alignment horizontal="center" vertical="center"/>
    </xf>
    <xf numFmtId="0" fontId="0" fillId="3" borderId="109" xfId="0" applyFill="1" applyBorder="1"/>
    <xf numFmtId="49" fontId="0" fillId="26" borderId="110" xfId="0" applyNumberFormat="1" applyFill="1" applyBorder="1" applyAlignment="1">
      <alignment horizontal="center" vertical="center"/>
    </xf>
    <xf numFmtId="3" fontId="0" fillId="26" borderId="105" xfId="4" applyNumberFormat="1" applyFont="1" applyFill="1" applyBorder="1" applyAlignment="1">
      <alignment horizontal="center" vertical="center"/>
    </xf>
    <xf numFmtId="0" fontId="0" fillId="2" borderId="111" xfId="0" applyFill="1" applyBorder="1"/>
    <xf numFmtId="49" fontId="0" fillId="2" borderId="107" xfId="0" applyNumberFormat="1" applyFill="1" applyBorder="1" applyAlignment="1">
      <alignment horizontal="center" vertical="center"/>
    </xf>
    <xf numFmtId="49" fontId="0" fillId="2" borderId="112" xfId="0" applyNumberFormat="1" applyFill="1" applyBorder="1" applyAlignment="1">
      <alignment horizontal="center" vertical="center"/>
    </xf>
    <xf numFmtId="0" fontId="0" fillId="3" borderId="113" xfId="0" applyFill="1" applyBorder="1"/>
    <xf numFmtId="49" fontId="0" fillId="3" borderId="108" xfId="0" applyNumberFormat="1" applyFill="1" applyBorder="1" applyAlignment="1">
      <alignment horizontal="center" vertical="center"/>
    </xf>
    <xf numFmtId="0" fontId="0" fillId="26" borderId="108" xfId="0" applyFill="1" applyBorder="1" applyAlignment="1">
      <alignment horizontal="center" vertical="center"/>
    </xf>
    <xf numFmtId="49" fontId="0" fillId="26" borderId="108" xfId="0" applyNumberFormat="1" applyFill="1" applyBorder="1" applyAlignment="1">
      <alignment horizontal="center" vertical="center"/>
    </xf>
    <xf numFmtId="49" fontId="0" fillId="26" borderId="114" xfId="0" applyNumberFormat="1" applyFill="1" applyBorder="1" applyAlignment="1">
      <alignment horizontal="center" vertical="center"/>
    </xf>
    <xf numFmtId="2" fontId="2" fillId="8" borderId="1" xfId="0" applyNumberFormat="1" applyFont="1" applyFill="1" applyBorder="1" applyAlignment="1">
      <alignment horizontal="center" vertical="center" wrapText="1" shrinkToFit="1"/>
    </xf>
    <xf numFmtId="0" fontId="2" fillId="8" borderId="1" xfId="0" applyFont="1" applyFill="1" applyBorder="1" applyAlignment="1">
      <alignment horizontal="center" vertical="center" wrapText="1" shrinkToFit="1"/>
    </xf>
    <xf numFmtId="3" fontId="0" fillId="0" borderId="29" xfId="0" applyNumberFormat="1" applyBorder="1" applyAlignment="1">
      <alignment horizontal="center" vertical="center"/>
    </xf>
    <xf numFmtId="167" fontId="0" fillId="0" borderId="29" xfId="3" applyNumberFormat="1" applyFont="1" applyBorder="1" applyAlignment="1">
      <alignment horizontal="center" vertical="center"/>
    </xf>
    <xf numFmtId="167" fontId="0" fillId="0" borderId="115" xfId="3" applyNumberFormat="1" applyFont="1" applyBorder="1" applyAlignment="1">
      <alignment horizontal="center" vertical="center"/>
    </xf>
    <xf numFmtId="3" fontId="0" fillId="18" borderId="61" xfId="0" applyNumberFormat="1" applyFill="1" applyBorder="1" applyAlignment="1">
      <alignment horizontal="center"/>
    </xf>
    <xf numFmtId="0" fontId="44" fillId="0" borderId="0" xfId="0" applyFont="1" applyAlignment="1">
      <alignment horizontal="left" wrapText="1"/>
    </xf>
    <xf numFmtId="0" fontId="39" fillId="0" borderId="0" xfId="0" applyFont="1" applyAlignment="1">
      <alignment horizontal="left" vertical="center" wrapText="1"/>
    </xf>
    <xf numFmtId="0" fontId="44" fillId="0" borderId="0" xfId="0" applyFont="1" applyAlignment="1">
      <alignment horizontal="left" vertical="center" wrapText="1"/>
    </xf>
    <xf numFmtId="14" fontId="46" fillId="0" borderId="0" xfId="0" applyNumberFormat="1" applyFont="1" applyAlignment="1">
      <alignment horizontal="left" wrapText="1"/>
    </xf>
    <xf numFmtId="0" fontId="2" fillId="9" borderId="1" xfId="0" applyFont="1" applyFill="1" applyBorder="1" applyAlignment="1">
      <alignment horizontal="center" vertical="center" wrapText="1" shrinkToFit="1"/>
    </xf>
    <xf numFmtId="166" fontId="2" fillId="9" borderId="1" xfId="0" applyNumberFormat="1" applyFont="1" applyFill="1" applyBorder="1" applyAlignment="1">
      <alignment horizontal="center" vertical="center" wrapText="1" shrinkToFit="1"/>
    </xf>
    <xf numFmtId="164" fontId="2" fillId="9" borderId="1" xfId="0" applyNumberFormat="1" applyFont="1" applyFill="1" applyBorder="1" applyAlignment="1">
      <alignment horizontal="center" vertical="center" wrapText="1" shrinkToFit="1"/>
    </xf>
    <xf numFmtId="2" fontId="2" fillId="9" borderId="1" xfId="0" applyNumberFormat="1" applyFont="1" applyFill="1" applyBorder="1" applyAlignment="1">
      <alignment horizontal="center" vertical="center" wrapText="1" shrinkToFit="1"/>
    </xf>
    <xf numFmtId="1" fontId="2" fillId="9" borderId="1" xfId="0" applyNumberFormat="1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center" vertical="center" wrapText="1" shrinkToFit="1"/>
    </xf>
    <xf numFmtId="166" fontId="2" fillId="7" borderId="1" xfId="0" applyNumberFormat="1" applyFont="1" applyFill="1" applyBorder="1" applyAlignment="1">
      <alignment horizontal="center" vertical="center" wrapText="1" shrinkToFit="1"/>
    </xf>
    <xf numFmtId="0" fontId="2" fillId="7" borderId="1" xfId="0" applyFont="1" applyFill="1" applyBorder="1" applyAlignment="1">
      <alignment horizontal="center" vertical="center" wrapText="1" shrinkToFit="1"/>
    </xf>
    <xf numFmtId="164" fontId="2" fillId="8" borderId="1" xfId="0" applyNumberFormat="1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 shrinkToFit="1"/>
    </xf>
    <xf numFmtId="1" fontId="2" fillId="0" borderId="1" xfId="0" applyNumberFormat="1" applyFont="1" applyBorder="1" applyAlignment="1">
      <alignment horizontal="center" vertical="center" wrapText="1" shrinkToFit="1"/>
    </xf>
    <xf numFmtId="2" fontId="2" fillId="0" borderId="1" xfId="0" applyNumberFormat="1" applyFont="1" applyBorder="1" applyAlignment="1">
      <alignment horizontal="center" vertical="center" wrapText="1" shrinkToFit="1"/>
    </xf>
    <xf numFmtId="3" fontId="2" fillId="0" borderId="1" xfId="0" applyNumberFormat="1" applyFont="1" applyBorder="1" applyAlignment="1">
      <alignment horizontal="center" vertical="center"/>
    </xf>
    <xf numFmtId="0" fontId="2" fillId="3" borderId="7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3" fontId="2" fillId="3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 wrapText="1" shrinkToFit="1"/>
    </xf>
    <xf numFmtId="2" fontId="2" fillId="0" borderId="86" xfId="0" applyNumberFormat="1" applyFont="1" applyBorder="1" applyAlignment="1">
      <alignment horizontal="center" vertical="center" wrapText="1" shrinkToFit="1"/>
    </xf>
    <xf numFmtId="0" fontId="2" fillId="0" borderId="76" xfId="0" applyFont="1" applyBorder="1" applyAlignment="1">
      <alignment horizontal="center" vertical="center" wrapText="1" shrinkToFit="1"/>
    </xf>
    <xf numFmtId="2" fontId="2" fillId="0" borderId="1" xfId="0" applyNumberFormat="1" applyFont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 vertical="center" wrapText="1" shrinkToFit="1"/>
    </xf>
    <xf numFmtId="2" fontId="2" fillId="3" borderId="0" xfId="0" applyNumberFormat="1" applyFont="1" applyFill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 wrapText="1" shrinkToFit="1"/>
    </xf>
    <xf numFmtId="0" fontId="2" fillId="11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1" xfId="2" applyNumberFormat="1" applyFont="1" applyFill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2" fontId="2" fillId="0" borderId="1" xfId="4" applyNumberFormat="1" applyFont="1" applyFill="1" applyBorder="1" applyAlignment="1">
      <alignment horizontal="center" vertical="center"/>
    </xf>
    <xf numFmtId="2" fontId="2" fillId="21" borderId="1" xfId="0" applyNumberFormat="1" applyFont="1" applyFill="1" applyBorder="1" applyAlignment="1">
      <alignment horizontal="center" vertical="center"/>
    </xf>
    <xf numFmtId="2" fontId="2" fillId="2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 shrinkToFit="1"/>
    </xf>
    <xf numFmtId="2" fontId="2" fillId="0" borderId="0" xfId="0" applyNumberFormat="1" applyFont="1" applyAlignment="1">
      <alignment horizontal="center" vertical="center" wrapText="1" shrinkToFit="1"/>
    </xf>
    <xf numFmtId="2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 wrapText="1" shrinkToFit="1"/>
    </xf>
    <xf numFmtId="0" fontId="2" fillId="0" borderId="0" xfId="0" applyFont="1"/>
    <xf numFmtId="1" fontId="2" fillId="0" borderId="0" xfId="0" applyNumberFormat="1" applyFont="1"/>
    <xf numFmtId="3" fontId="2" fillId="0" borderId="0" xfId="0" applyNumberFormat="1" applyFont="1"/>
    <xf numFmtId="166" fontId="2" fillId="0" borderId="0" xfId="0" applyNumberFormat="1" applyFont="1"/>
    <xf numFmtId="2" fontId="2" fillId="0" borderId="0" xfId="0" applyNumberFormat="1" applyFont="1"/>
    <xf numFmtId="166" fontId="2" fillId="0" borderId="0" xfId="0" applyNumberFormat="1" applyFont="1" applyAlignment="1">
      <alignment wrapText="1"/>
    </xf>
    <xf numFmtId="2" fontId="2" fillId="0" borderId="1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2" fontId="2" fillId="0" borderId="10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2" fontId="2" fillId="0" borderId="11" xfId="0" applyNumberFormat="1" applyFont="1" applyBorder="1" applyAlignment="1">
      <alignment horizontal="center" vertical="center"/>
    </xf>
    <xf numFmtId="166" fontId="2" fillId="0" borderId="14" xfId="0" applyNumberFormat="1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0" fontId="0" fillId="18" borderId="1" xfId="0" applyFill="1" applyBorder="1" applyAlignment="1">
      <alignment horizontal="left" vertical="center"/>
    </xf>
    <xf numFmtId="1" fontId="47" fillId="0" borderId="1" xfId="0" applyNumberFormat="1" applyFont="1" applyBorder="1" applyAlignment="1">
      <alignment horizontal="center" vertical="center" wrapText="1" shrinkToFit="1"/>
    </xf>
    <xf numFmtId="2" fontId="13" fillId="9" borderId="15" xfId="0" applyNumberFormat="1" applyFont="1" applyFill="1" applyBorder="1" applyAlignment="1">
      <alignment horizontal="left" vertical="center" wrapText="1" shrinkToFit="1"/>
    </xf>
    <xf numFmtId="2" fontId="13" fillId="9" borderId="85" xfId="0" applyNumberFormat="1" applyFont="1" applyFill="1" applyBorder="1" applyAlignment="1">
      <alignment horizontal="left" vertical="center" wrapText="1" shrinkToFit="1"/>
    </xf>
    <xf numFmtId="2" fontId="13" fillId="9" borderId="76" xfId="0" applyNumberFormat="1" applyFont="1" applyFill="1" applyBorder="1" applyAlignment="1">
      <alignment horizontal="left" vertical="center" wrapText="1" shrinkToFit="1"/>
    </xf>
    <xf numFmtId="2" fontId="0" fillId="0" borderId="0" xfId="0" applyNumberFormat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3" fillId="7" borderId="15" xfId="0" applyFont="1" applyFill="1" applyBorder="1" applyAlignment="1">
      <alignment horizontal="left" vertical="center" wrapText="1" shrinkToFit="1"/>
    </xf>
    <xf numFmtId="0" fontId="13" fillId="7" borderId="85" xfId="0" applyFont="1" applyFill="1" applyBorder="1" applyAlignment="1">
      <alignment horizontal="left" vertical="center" wrapText="1" shrinkToFit="1"/>
    </xf>
    <xf numFmtId="0" fontId="13" fillId="9" borderId="15" xfId="0" applyFont="1" applyFill="1" applyBorder="1" applyAlignment="1">
      <alignment horizontal="left" vertical="center" wrapText="1" shrinkToFit="1"/>
    </xf>
    <xf numFmtId="0" fontId="13" fillId="9" borderId="85" xfId="0" applyFont="1" applyFill="1" applyBorder="1" applyAlignment="1">
      <alignment horizontal="left" vertical="center" wrapText="1" shrinkToFit="1"/>
    </xf>
    <xf numFmtId="0" fontId="0" fillId="3" borderId="107" xfId="0" applyFill="1" applyBorder="1" applyAlignment="1">
      <alignment horizontal="center" vertical="center"/>
    </xf>
    <xf numFmtId="49" fontId="0" fillId="3" borderId="108" xfId="0" applyNumberFormat="1" applyFill="1" applyBorder="1" applyAlignment="1">
      <alignment horizontal="center" vertical="center"/>
    </xf>
    <xf numFmtId="49" fontId="0" fillId="0" borderId="86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49" fontId="0" fillId="3" borderId="86" xfId="0" applyNumberFormat="1" applyFill="1" applyBorder="1" applyAlignment="1">
      <alignment horizontal="center" vertical="center"/>
    </xf>
    <xf numFmtId="49" fontId="0" fillId="3" borderId="12" xfId="0" applyNumberForma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 shrinkToFit="1"/>
    </xf>
    <xf numFmtId="166" fontId="48" fillId="0" borderId="1" xfId="0" applyNumberFormat="1" applyFont="1" applyBorder="1" applyAlignment="1">
      <alignment horizontal="center" vertical="center" wrapText="1" shrinkToFit="1"/>
    </xf>
    <xf numFmtId="0" fontId="48" fillId="8" borderId="1" xfId="0" applyFont="1" applyFill="1" applyBorder="1" applyAlignment="1">
      <alignment horizontal="center" vertical="center" wrapText="1" shrinkToFit="1"/>
    </xf>
    <xf numFmtId="166" fontId="48" fillId="2" borderId="98" xfId="0" applyNumberFormat="1" applyFont="1" applyFill="1" applyBorder="1" applyAlignment="1">
      <alignment horizontal="center" vertical="center" wrapText="1" shrinkToFit="1"/>
    </xf>
    <xf numFmtId="166" fontId="48" fillId="2" borderId="76" xfId="0" applyNumberFormat="1" applyFont="1" applyFill="1" applyBorder="1" applyAlignment="1">
      <alignment horizontal="center" vertical="center" wrapText="1" shrinkToFit="1"/>
    </xf>
    <xf numFmtId="166" fontId="48" fillId="2" borderId="1" xfId="0" applyNumberFormat="1" applyFont="1" applyFill="1" applyBorder="1" applyAlignment="1">
      <alignment horizontal="center" vertical="center" wrapText="1" shrinkToFit="1"/>
    </xf>
    <xf numFmtId="166" fontId="48" fillId="7" borderId="1" xfId="0" applyNumberFormat="1" applyFont="1" applyFill="1" applyBorder="1" applyAlignment="1">
      <alignment horizontal="center" vertical="center" wrapText="1" shrinkToFit="1"/>
    </xf>
    <xf numFmtId="0" fontId="48" fillId="7" borderId="1" xfId="0" applyFont="1" applyFill="1" applyBorder="1" applyAlignment="1">
      <alignment horizontal="center" vertical="center" wrapText="1" shrinkToFit="1"/>
    </xf>
    <xf numFmtId="166" fontId="20" fillId="7" borderId="1" xfId="0" applyNumberFormat="1" applyFont="1" applyFill="1" applyBorder="1" applyAlignment="1">
      <alignment horizontal="center" vertical="center" wrapText="1" shrinkToFit="1"/>
    </xf>
    <xf numFmtId="0" fontId="45" fillId="0" borderId="116" xfId="0" applyFont="1" applyBorder="1" applyAlignment="1">
      <alignment horizontal="left" vertical="center" wrapText="1" shrinkToFit="1"/>
    </xf>
    <xf numFmtId="0" fontId="45" fillId="0" borderId="1" xfId="0" applyFont="1" applyBorder="1" applyAlignment="1">
      <alignment horizontal="left" vertical="center" wrapText="1" shrinkToFit="1"/>
    </xf>
    <xf numFmtId="0" fontId="44" fillId="0" borderId="1" xfId="0" applyFont="1" applyBorder="1" applyAlignment="1">
      <alignment horizontal="left" wrapText="1"/>
    </xf>
    <xf numFmtId="0" fontId="44" fillId="0" borderId="116" xfId="0" applyFont="1" applyBorder="1" applyAlignment="1">
      <alignment horizontal="center" wrapText="1" shrinkToFit="1"/>
    </xf>
    <xf numFmtId="0" fontId="39" fillId="2" borderId="1" xfId="0" applyFont="1" applyFill="1" applyBorder="1" applyAlignment="1">
      <alignment horizontal="left" vertical="center" wrapText="1" shrinkToFit="1"/>
    </xf>
    <xf numFmtId="1" fontId="39" fillId="24" borderId="1" xfId="0" applyNumberFormat="1" applyFont="1" applyFill="1" applyBorder="1" applyAlignment="1">
      <alignment horizontal="center" vertical="center" wrapText="1" shrinkToFit="1"/>
    </xf>
    <xf numFmtId="1" fontId="39" fillId="27" borderId="1" xfId="0" applyNumberFormat="1" applyFont="1" applyFill="1" applyBorder="1" applyAlignment="1">
      <alignment horizontal="center" vertical="center" wrapText="1" shrinkToFit="1"/>
    </xf>
    <xf numFmtId="1" fontId="39" fillId="21" borderId="1" xfId="0" applyNumberFormat="1" applyFont="1" applyFill="1" applyBorder="1" applyAlignment="1">
      <alignment horizontal="center" vertical="center" wrapText="1" shrinkToFit="1"/>
    </xf>
    <xf numFmtId="0" fontId="44" fillId="0" borderId="1" xfId="0" applyFont="1" applyBorder="1" applyAlignment="1">
      <alignment horizontal="center"/>
    </xf>
    <xf numFmtId="0" fontId="44" fillId="0" borderId="1" xfId="0" applyFont="1" applyBorder="1" applyAlignment="1">
      <alignment horizontal="center" wrapText="1" shrinkToFit="1"/>
    </xf>
    <xf numFmtId="0" fontId="39" fillId="2" borderId="1" xfId="0" applyFont="1" applyFill="1" applyBorder="1" applyAlignment="1">
      <alignment horizontal="center" vertical="center" wrapText="1" shrinkToFit="1"/>
    </xf>
    <xf numFmtId="0" fontId="47" fillId="0" borderId="1" xfId="0" applyFont="1" applyBorder="1" applyAlignment="1">
      <alignment horizontal="center" wrapText="1"/>
    </xf>
    <xf numFmtId="0" fontId="45" fillId="0" borderId="1" xfId="0" applyFont="1" applyBorder="1" applyAlignment="1">
      <alignment horizontal="center" vertical="center" wrapText="1" shrinkToFit="1"/>
    </xf>
    <xf numFmtId="0" fontId="44" fillId="0" borderId="1" xfId="0" applyFont="1" applyBorder="1" applyAlignment="1">
      <alignment horizontal="center" wrapText="1"/>
    </xf>
    <xf numFmtId="0" fontId="45" fillId="0" borderId="116" xfId="0" applyFont="1" applyBorder="1" applyAlignment="1">
      <alignment horizontal="center" vertical="center" wrapText="1" shrinkToFit="1"/>
    </xf>
    <xf numFmtId="0" fontId="45" fillId="0" borderId="0" xfId="0" applyFont="1" applyAlignment="1">
      <alignment horizontal="center" vertical="center" wrapText="1" shrinkToFit="1"/>
    </xf>
    <xf numFmtId="0" fontId="44" fillId="0" borderId="0" xfId="0" applyFont="1" applyAlignment="1">
      <alignment horizontal="center" wrapText="1"/>
    </xf>
    <xf numFmtId="0" fontId="45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14" fontId="46" fillId="0" borderId="0" xfId="0" applyNumberFormat="1" applyFont="1" applyAlignment="1">
      <alignment horizontal="center" wrapText="1"/>
    </xf>
    <xf numFmtId="0" fontId="44" fillId="0" borderId="0" xfId="0" applyFont="1" applyAlignment="1">
      <alignment horizontal="center" vertical="center" wrapText="1"/>
    </xf>
    <xf numFmtId="2" fontId="5" fillId="12" borderId="97" xfId="0" applyNumberFormat="1" applyFont="1" applyFill="1" applyBorder="1" applyAlignment="1">
      <alignment horizontal="center" vertical="center" wrapText="1" shrinkToFit="1"/>
    </xf>
    <xf numFmtId="2" fontId="5" fillId="12" borderId="79" xfId="0" applyNumberFormat="1" applyFont="1" applyFill="1" applyBorder="1" applyAlignment="1">
      <alignment horizontal="center" vertical="center" wrapText="1" shrinkToFit="1"/>
    </xf>
    <xf numFmtId="0" fontId="0" fillId="18" borderId="2" xfId="0" applyFill="1" applyBorder="1" applyAlignment="1">
      <alignment horizontal="center" vertical="center"/>
    </xf>
    <xf numFmtId="3" fontId="0" fillId="18" borderId="117" xfId="0" applyNumberFormat="1" applyFill="1" applyBorder="1" applyAlignment="1">
      <alignment horizontal="center"/>
    </xf>
    <xf numFmtId="167" fontId="0" fillId="18" borderId="3" xfId="3" applyNumberFormat="1" applyFont="1" applyFill="1" applyBorder="1" applyAlignment="1">
      <alignment horizontal="center" vertical="center"/>
    </xf>
    <xf numFmtId="3" fontId="0" fillId="18" borderId="3" xfId="0" applyNumberFormat="1" applyFill="1" applyBorder="1" applyAlignment="1">
      <alignment horizontal="center"/>
    </xf>
    <xf numFmtId="167" fontId="0" fillId="18" borderId="4" xfId="3" applyNumberFormat="1" applyFont="1" applyFill="1" applyBorder="1" applyAlignment="1">
      <alignment horizontal="center" vertical="center"/>
    </xf>
    <xf numFmtId="0" fontId="0" fillId="18" borderId="5" xfId="0" applyFill="1" applyBorder="1" applyAlignment="1">
      <alignment horizontal="center" vertical="center"/>
    </xf>
    <xf numFmtId="3" fontId="0" fillId="18" borderId="0" xfId="0" applyNumberFormat="1" applyFill="1" applyBorder="1" applyAlignment="1">
      <alignment horizontal="center"/>
    </xf>
    <xf numFmtId="167" fontId="0" fillId="18" borderId="6" xfId="3" applyNumberFormat="1" applyFont="1" applyFill="1" applyBorder="1" applyAlignment="1">
      <alignment horizontal="center" vertical="center"/>
    </xf>
    <xf numFmtId="0" fontId="0" fillId="18" borderId="7" xfId="0" applyFill="1" applyBorder="1" applyAlignment="1">
      <alignment horizontal="center" vertical="center" wrapText="1"/>
    </xf>
    <xf numFmtId="3" fontId="0" fillId="18" borderId="118" xfId="0" applyNumberFormat="1" applyFill="1" applyBorder="1" applyAlignment="1">
      <alignment horizontal="center" vertical="center"/>
    </xf>
    <xf numFmtId="167" fontId="0" fillId="18" borderId="8" xfId="3" applyNumberFormat="1" applyFont="1" applyFill="1" applyBorder="1" applyAlignment="1">
      <alignment horizontal="center" vertical="center"/>
    </xf>
    <xf numFmtId="3" fontId="0" fillId="18" borderId="8" xfId="0" applyNumberFormat="1" applyFill="1" applyBorder="1" applyAlignment="1">
      <alignment horizontal="center" vertical="center"/>
    </xf>
    <xf numFmtId="167" fontId="0" fillId="18" borderId="9" xfId="3" applyNumberFormat="1" applyFont="1" applyFill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 wrapText="1" shrinkToFit="1"/>
    </xf>
    <xf numFmtId="166" fontId="2" fillId="0" borderId="1" xfId="0" applyNumberFormat="1" applyFont="1" applyFill="1" applyBorder="1" applyAlignment="1">
      <alignment horizontal="center" vertical="center" wrapText="1" shrinkToFit="1"/>
    </xf>
  </cellXfs>
  <cellStyles count="5">
    <cellStyle name="Comma" xfId="4" builtinId="3"/>
    <cellStyle name="Good" xfId="1" builtinId="26"/>
    <cellStyle name="Neutral" xfId="2" builtinId="28"/>
    <cellStyle name="Normal" xfId="0" builtinId="0"/>
    <cellStyle name="Percent" xfId="3" builtinId="5"/>
  </cellStyles>
  <dxfs count="9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7A81FF"/>
      <color rgb="FFFFCC66"/>
      <color rgb="FFCCFFCC"/>
      <color rgb="FFCCFFFF"/>
      <color rgb="FFFFCCFF"/>
      <color rgb="FFD9D9D9"/>
      <color rgb="FF93D1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998277619542682"/>
          <c:y val="0.19249264577176092"/>
          <c:w val="0.48300536672629696"/>
          <c:h val="0.704960835509138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FE8-444A-A194-ED505CCBBA9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FE8-444A-A194-ED505CCBBA9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38D7-E440-918D-B9D81D2BA8C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38D7-E440-918D-B9D81D2BA8C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8D7-E440-918D-B9D81D2BA8C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38D7-E440-918D-B9D81D2BA8C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31BC-6845-9547-8DCEED7EA970}"/>
              </c:ext>
            </c:extLst>
          </c:dPt>
          <c:dLbls>
            <c:dLbl>
              <c:idx val="0"/>
              <c:layout>
                <c:manualLayout>
                  <c:x val="-0.19866071428571436"/>
                  <c:y val="-1.35135135135135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E8-444A-A194-ED505CCBBA9F}"/>
                </c:ext>
              </c:extLst>
            </c:dLbl>
            <c:dLbl>
              <c:idx val="1"/>
              <c:layout>
                <c:manualLayout>
                  <c:x val="0.19196428571428567"/>
                  <c:y val="-7.882865148613188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8103785854893137"/>
                      <c:h val="9.878378378378378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7FE8-444A-A194-ED505CCBBA9F}"/>
                </c:ext>
              </c:extLst>
            </c:dLbl>
            <c:dLbl>
              <c:idx val="2"/>
              <c:layout>
                <c:manualLayout>
                  <c:x val="6.4774325084364431E-3"/>
                  <c:y val="-6.817319287791728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5179608408323961"/>
                      <c:h val="7.910459672270694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38D7-E440-918D-B9D81D2BA8CC}"/>
                </c:ext>
              </c:extLst>
            </c:dLbl>
            <c:dLbl>
              <c:idx val="3"/>
              <c:layout>
                <c:manualLayout>
                  <c:x val="-8.5122679977502808E-2"/>
                  <c:y val="-2.59991487550543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D7-E440-918D-B9D81D2BA8CC}"/>
                </c:ext>
              </c:extLst>
            </c:dLbl>
            <c:dLbl>
              <c:idx val="4"/>
              <c:layout>
                <c:manualLayout>
                  <c:x val="4.2670925899887475E-2"/>
                  <c:y val="1.688151734411576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0038342348295834"/>
                      <c:h val="0.1262917277509040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8D7-E440-918D-B9D81D2BA8CC}"/>
                </c:ext>
              </c:extLst>
            </c:dLbl>
            <c:dLbl>
              <c:idx val="5"/>
              <c:layout>
                <c:manualLayout>
                  <c:x val="9.1435601799775029E-2"/>
                  <c:y val="-5.425037241966380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8D7-E440-918D-B9D81D2BA8C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1BC-6845-9547-8DCEED7EA97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,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('Summary tables'!$K$3:$K$8,'Summary tables'!$K$11)</c:f>
              <c:strCache>
                <c:ptCount val="7"/>
                <c:pt idx="0">
                  <c:v>cables (SCAs, MCAs, BCAs, SJBs)</c:v>
                </c:pt>
                <c:pt idx="1">
                  <c:v>mDOMs + D-Eggs</c:v>
                </c:pt>
                <c:pt idx="2">
                  <c:v>calibration + special
+ logging devices</c:v>
                </c:pt>
                <c:pt idx="3">
                  <c:v>DOM Handling Facility</c:v>
                </c:pt>
                <c:pt idx="4">
                  <c:v>hardware (rigging and weights)</c:v>
                </c:pt>
                <c:pt idx="5">
                  <c:v>ICL + science</c:v>
                </c:pt>
                <c:pt idx="6">
                  <c:v>Logistics equipment total</c:v>
                </c:pt>
              </c:strCache>
            </c:strRef>
          </c:cat>
          <c:val>
            <c:numRef>
              <c:f>('Summary tables'!$N$3:$N$8,'Summary tables'!$N$11)</c:f>
              <c:numCache>
                <c:formatCode>#,##0</c:formatCode>
                <c:ptCount val="7"/>
                <c:pt idx="0">
                  <c:v>128114</c:v>
                </c:pt>
                <c:pt idx="1">
                  <c:v>58149</c:v>
                </c:pt>
                <c:pt idx="2">
                  <c:v>14878</c:v>
                </c:pt>
                <c:pt idx="3">
                  <c:v>12000</c:v>
                </c:pt>
                <c:pt idx="4">
                  <c:v>12502</c:v>
                </c:pt>
                <c:pt idx="5">
                  <c:v>5075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7-E440-918D-B9D81D2BA8CC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Cargo</a:t>
            </a:r>
            <a:r>
              <a:rPr lang="en-US" baseline="0"/>
              <a:t> distribution </a:t>
            </a:r>
            <a:br>
              <a:rPr lang="en-US" baseline="0"/>
            </a:br>
            <a:r>
              <a:rPr lang="en-US" baseline="0"/>
              <a:t>by point of departure [weight based]</a:t>
            </a:r>
            <a:endParaRPr lang="en-US"/>
          </a:p>
        </c:rich>
      </c:tx>
      <c:layout>
        <c:manualLayout>
          <c:xMode val="edge"/>
          <c:yMode val="edge"/>
          <c:x val="0.44046376092752187"/>
          <c:y val="5.00556509383695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079-4678-A27C-E65EF405D9E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079-4678-A27C-E65EF405D9E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079-4678-A27C-E65EF405D9E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079-4678-A27C-E65EF405D9E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F916-094C-935F-9544CE30484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916-094C-935F-9544CE304847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F916-094C-935F-9544CE304847}"/>
              </c:ext>
            </c:extLst>
          </c:dPt>
          <c:dLbls>
            <c:dLbl>
              <c:idx val="4"/>
              <c:layout>
                <c:manualLayout>
                  <c:x val="-7.3557961504811933E-2"/>
                  <c:y val="2.882764654418191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916-094C-935F-9544CE304847}"/>
                </c:ext>
              </c:extLst>
            </c:dLbl>
            <c:dLbl>
              <c:idx val="5"/>
              <c:layout>
                <c:manualLayout>
                  <c:x val="-2.2585301837270595E-3"/>
                  <c:y val="-2.645851560221642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16-094C-935F-9544CE304847}"/>
                </c:ext>
              </c:extLst>
            </c:dLbl>
            <c:dLbl>
              <c:idx val="6"/>
              <c:layout>
                <c:manualLayout>
                  <c:x val="6.015748031496012E-3"/>
                  <c:y val="-1.2090624088655607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916-094C-935F-9544CE304847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'Summary tables'!$B$73:$B$79</c:f>
              <c:strCache>
                <c:ptCount val="7"/>
                <c:pt idx="0">
                  <c:v>In McMurdo</c:v>
                </c:pt>
                <c:pt idx="1">
                  <c:v>At South Pole</c:v>
                </c:pt>
                <c:pt idx="2">
                  <c:v>UWM - PTH</c:v>
                </c:pt>
                <c:pt idx="3">
                  <c:v>MSU - PTH</c:v>
                </c:pt>
                <c:pt idx="4">
                  <c:v>Yale - PTH</c:v>
                </c:pt>
                <c:pt idx="5">
                  <c:v>DESY - CHC</c:v>
                </c:pt>
                <c:pt idx="6">
                  <c:v>ChibaU - CHC</c:v>
                </c:pt>
              </c:strCache>
            </c:strRef>
          </c:cat>
          <c:val>
            <c:numRef>
              <c:f>'Summary tables'!$C$73:$C$79</c:f>
              <c:numCache>
                <c:formatCode>#,##0</c:formatCode>
                <c:ptCount val="7"/>
                <c:pt idx="0">
                  <c:v>227787</c:v>
                </c:pt>
                <c:pt idx="1">
                  <c:v>12241</c:v>
                </c:pt>
                <c:pt idx="2">
                  <c:v>96104</c:v>
                </c:pt>
                <c:pt idx="3">
                  <c:v>142439</c:v>
                </c:pt>
                <c:pt idx="4">
                  <c:v>1500</c:v>
                </c:pt>
                <c:pt idx="5">
                  <c:v>20585</c:v>
                </c:pt>
                <c:pt idx="6">
                  <c:v>27780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16-094C-935F-9544CE30484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Cargo distribution by Point of Origin and Point of Departure [weight based]</a:t>
            </a:r>
          </a:p>
        </c:rich>
      </c:tx>
      <c:layout>
        <c:manualLayout>
          <c:xMode val="edge"/>
          <c:yMode val="edge"/>
          <c:x val="0.15653342811315252"/>
          <c:y val="5.47945205479452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652672287645457E-2"/>
          <c:y val="0.23150684931506849"/>
          <c:w val="0.41891592920353982"/>
          <c:h val="0.7410958904109589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1D6-6244-9292-08221090138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61D6-6244-9292-08221090138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'Summary tables'!$E$73:$E$74</c:f>
              <c:strCache>
                <c:ptCount val="2"/>
                <c:pt idx="0">
                  <c:v>Point of Origin same as Point of Departure</c:v>
                </c:pt>
                <c:pt idx="1">
                  <c:v>Point of Origin different from Point of Departure</c:v>
                </c:pt>
              </c:strCache>
            </c:strRef>
          </c:cat>
          <c:val>
            <c:numRef>
              <c:f>'Summary tables'!$G$73:$G$74</c:f>
              <c:numCache>
                <c:formatCode>#,##0</c:formatCode>
                <c:ptCount val="2"/>
                <c:pt idx="0">
                  <c:v>523493</c:v>
                </c:pt>
                <c:pt idx="1">
                  <c:v>4943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1D6-6244-9292-08221090138F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8797331196432303"/>
          <c:y val="0.44942447262585328"/>
          <c:w val="0.38995607319918346"/>
          <c:h val="0.273949181009908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Cargo (total)  distribution by BoE</a:t>
            </a:r>
          </a:p>
        </c:rich>
      </c:tx>
      <c:layout>
        <c:manualLayout>
          <c:xMode val="edge"/>
          <c:yMode val="edge"/>
          <c:x val="0.267742964421114"/>
          <c:y val="4.30528375733855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652672287645457E-2"/>
          <c:y val="0.23150684931506849"/>
          <c:w val="0.41891592920353982"/>
          <c:h val="0.7410958904109589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08BB-7746-8208-7825CBD3A2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08BB-7746-8208-7825CBD3A2D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9B37-4742-94B7-8E229CDABC9F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'Summary tables'!$B$100:$B$102</c:f>
              <c:strCache>
                <c:ptCount val="3"/>
                <c:pt idx="0">
                  <c:v>actual</c:v>
                </c:pt>
                <c:pt idx="1">
                  <c:v>estimated</c:v>
                </c:pt>
                <c:pt idx="2">
                  <c:v>preliminary</c:v>
                </c:pt>
              </c:strCache>
            </c:strRef>
          </c:cat>
          <c:val>
            <c:numRef>
              <c:f>'Summary tables'!$D$100:$D$102</c:f>
              <c:numCache>
                <c:formatCode>#,##0</c:formatCode>
                <c:ptCount val="3"/>
                <c:pt idx="0">
                  <c:v>332509</c:v>
                </c:pt>
                <c:pt idx="1">
                  <c:v>74982</c:v>
                </c:pt>
                <c:pt idx="2">
                  <c:v>120945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BB-7746-8208-7825CBD3A2D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8797331196432303"/>
          <c:y val="0.44942447262585328"/>
          <c:w val="0.49875235175249111"/>
          <c:h val="0.273949181009908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Installation related cargo weight distribution by BoE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652672287645457E-2"/>
          <c:y val="0.23150684931506849"/>
          <c:w val="0.41891592920353982"/>
          <c:h val="0.7410958904109589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0DB-664B-AA53-88F98408F7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0DB-664B-AA53-88F98408F7E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0DB-664B-AA53-88F98408F7EB}"/>
              </c:ext>
            </c:extLst>
          </c:dPt>
          <c:dLbls>
            <c:spPr>
              <a:pattFill prst="pct75">
                <a:fgClr>
                  <a:sysClr val="windowText" lastClr="000000">
                    <a:lumMod val="75000"/>
                    <a:lumOff val="25000"/>
                  </a:sysClr>
                </a:fgClr>
                <a:bgClr>
                  <a:sysClr val="windowText" lastClr="000000">
                    <a:lumMod val="65000"/>
                    <a:lumOff val="35000"/>
                  </a:sys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'Summary tables'!$B$114:$B$116</c:f>
              <c:strCache>
                <c:ptCount val="3"/>
                <c:pt idx="0">
                  <c:v>actual</c:v>
                </c:pt>
                <c:pt idx="1">
                  <c:v>estimated</c:v>
                </c:pt>
                <c:pt idx="2">
                  <c:v>preliminary</c:v>
                </c:pt>
              </c:strCache>
            </c:strRef>
          </c:cat>
          <c:val>
            <c:numRef>
              <c:f>'Summary tables'!$D$114:$D$116</c:f>
              <c:numCache>
                <c:formatCode>#,##0</c:formatCode>
                <c:ptCount val="3"/>
                <c:pt idx="0">
                  <c:v>67801</c:v>
                </c:pt>
                <c:pt idx="1">
                  <c:v>41972</c:v>
                </c:pt>
                <c:pt idx="2">
                  <c:v>120945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DB-664B-AA53-88F98408F7E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8797331196432303"/>
          <c:y val="0.44942447262585328"/>
          <c:w val="0.49875235175249111"/>
          <c:h val="0.273949181009908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3998277619542682"/>
          <c:y val="0.19249264577176092"/>
          <c:w val="0.48300536672629696"/>
          <c:h val="0.7049608355091383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FE8-444A-A194-ED505CCBBA9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FE8-444A-A194-ED505CCBBA9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38D7-E440-918D-B9D81D2BA8C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38D7-E440-918D-B9D81D2BA8C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8D7-E440-918D-B9D81D2BA8C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38D7-E440-918D-B9D81D2BA8CC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31BC-6845-9547-8DCEED7EA970}"/>
              </c:ext>
            </c:extLst>
          </c:dPt>
          <c:dLbls>
            <c:dLbl>
              <c:idx val="0"/>
              <c:layout>
                <c:manualLayout>
                  <c:x val="9.8926374394571859E-2"/>
                  <c:y val="3.744399276793422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E8-444A-A194-ED505CCBBA9F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8-444A-A194-ED505CCBBA9F}"/>
                </c:ext>
              </c:extLst>
            </c:dLbl>
            <c:dLbl>
              <c:idx val="2"/>
              <c:layout>
                <c:manualLayout>
                  <c:x val="-4.486196048125933E-2"/>
                  <c:y val="7.876822936646821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2947458881970745"/>
                      <c:h val="0.151176653547051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38D7-E440-918D-B9D81D2BA8CC}"/>
                </c:ext>
              </c:extLst>
            </c:dLbl>
            <c:dLbl>
              <c:idx val="3"/>
              <c:layout>
                <c:manualLayout>
                  <c:x val="-8.5122694246492062E-2"/>
                  <c:y val="-3.500810194065253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D7-E440-918D-B9D81D2BA8CC}"/>
                </c:ext>
              </c:extLst>
            </c:dLbl>
            <c:dLbl>
              <c:idx val="4"/>
              <c:layout>
                <c:manualLayout>
                  <c:x val="-2.8757576399837184E-2"/>
                  <c:y val="-0.109244573859055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0038342348295834"/>
                      <c:h val="0.1262917277509040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8D7-E440-918D-B9D81D2BA8CC}"/>
                </c:ext>
              </c:extLst>
            </c:dLbl>
            <c:dLbl>
              <c:idx val="5"/>
              <c:layout>
                <c:manualLayout>
                  <c:x val="0.14723925491285114"/>
                  <c:y val="-7.00162038813050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8D7-E440-918D-B9D81D2BA8CC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1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1BC-6845-9547-8DCEED7EA970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,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('Summary tables'!$K$26:$K$31,'Summary tables'!$K$33)</c:f>
              <c:strCache>
                <c:ptCount val="7"/>
                <c:pt idx="0">
                  <c:v>Rodwell Drill and System</c:v>
                </c:pt>
                <c:pt idx="1">
                  <c:v>Generators, HPU, fuel tower</c:v>
                </c:pt>
                <c:pt idx="2">
                  <c:v>Hose, drill heads and weight stack</c:v>
                </c:pt>
                <c:pt idx="3">
                  <c:v>Reels</c:v>
                </c:pt>
                <c:pt idx="4">
                  <c:v>Refit, spare cable, support equip.</c:v>
                </c:pt>
                <c:pt idx="5">
                  <c:v>Drill Equipment</c:v>
                </c:pt>
                <c:pt idx="6">
                  <c:v>Logistics Equipment</c:v>
                </c:pt>
              </c:strCache>
            </c:strRef>
          </c:cat>
          <c:val>
            <c:numRef>
              <c:f>('Summary tables'!$N$26:$N$31,'Summary tables'!$N$33)</c:f>
              <c:numCache>
                <c:formatCode>#,##0</c:formatCode>
                <c:ptCount val="7"/>
                <c:pt idx="0">
                  <c:v>6600</c:v>
                </c:pt>
                <c:pt idx="1">
                  <c:v>100341</c:v>
                </c:pt>
                <c:pt idx="2">
                  <c:v>50571</c:v>
                </c:pt>
                <c:pt idx="3">
                  <c:v>25600</c:v>
                </c:pt>
                <c:pt idx="4">
                  <c:v>100628</c:v>
                </c:pt>
                <c:pt idx="5">
                  <c:v>297708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D7-E440-918D-B9D81D2BA8CC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180"/>
      </c:pieChart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IceCube Upgrade cargo by WEIGHT</a:t>
            </a:r>
          </a:p>
        </c:rich>
      </c:tx>
      <c:layout>
        <c:manualLayout>
          <c:xMode val="edge"/>
          <c:yMode val="edge"/>
          <c:x val="0.39176758300837156"/>
          <c:y val="1.76389917830076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32E-3C48-BB55-F8B5D24B1B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632E-3C48-BB55-F8B5D24B1BB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632E-3C48-BB55-F8B5D24B1BB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632E-3C48-BB55-F8B5D24B1BB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632E-3C48-BB55-F8B5D24B1BB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632E-3C48-BB55-F8B5D24B1BB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632E-3C48-BB55-F8B5D24B1BB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632E-3C48-BB55-F8B5D24B1BB1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2-632E-3C48-BB55-F8B5D24B1BB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2E-3C48-BB55-F8B5D24B1BB1}"/>
                </c:ext>
              </c:extLst>
            </c:dLbl>
            <c:dLbl>
              <c:idx val="2"/>
              <c:layout>
                <c:manualLayout>
                  <c:x val="4.5212896197585548E-2"/>
                  <c:y val="-3.33468360756353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32E-3C48-BB55-F8B5D24B1BB1}"/>
                </c:ext>
              </c:extLst>
            </c:dLbl>
            <c:dLbl>
              <c:idx val="3"/>
              <c:layout>
                <c:manualLayout>
                  <c:x val="0.10182413706135401"/>
                  <c:y val="3.5277983566015247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2E-3C48-BB55-F8B5D24B1BB1}"/>
                </c:ext>
              </c:extLst>
            </c:dLbl>
            <c:dLbl>
              <c:idx val="4"/>
              <c:layout>
                <c:manualLayout>
                  <c:x val="-0.14651431751020144"/>
                  <c:y val="1.499459138962967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overflow" horzOverflow="overflow" vert="horz" wrap="square" anchor="ctr" anchorCtr="1">
                  <a:noAutofit/>
                </a:bodyPr>
                <a:lstStyle/>
                <a:p>
                  <a:pPr>
                    <a:defRPr sz="12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8553961682321405"/>
                      <c:h val="6.646418993313672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632E-3C48-BB55-F8B5D24B1BB1}"/>
                </c:ext>
              </c:extLst>
            </c:dLbl>
            <c:dLbl>
              <c:idx val="5"/>
              <c:layout>
                <c:manualLayout>
                  <c:x val="5.513639658261818E-2"/>
                  <c:y val="-1.298399227359785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3126525489037098"/>
                      <c:h val="8.80597761464289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632E-3C48-BB55-F8B5D24B1BB1}"/>
                </c:ext>
              </c:extLst>
            </c:dLbl>
            <c:dLbl>
              <c:idx val="6"/>
              <c:layout>
                <c:manualLayout>
                  <c:x val="7.2739498378109647E-3"/>
                  <c:y val="3.635382594514371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, </c:separator>
              <c:extLst>
                <c:ext xmlns:c15="http://schemas.microsoft.com/office/drawing/2012/chart" uri="{CE6537A1-D6FC-4f65-9D91-7224C49458BB}">
                  <c15:layout>
                    <c:manualLayout>
                      <c:w val="0.24389656185718483"/>
                      <c:h val="0.205244609482462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632E-3C48-BB55-F8B5D24B1BB1}"/>
                </c:ext>
              </c:extLst>
            </c:dLbl>
            <c:dLbl>
              <c:idx val="7"/>
              <c:layout>
                <c:manualLayout>
                  <c:x val="-3.4520684363470139E-2"/>
                  <c:y val="4.23336683591109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0666682992131128"/>
                      <c:h val="0.302869074707075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632E-3C48-BB55-F8B5D24B1BB1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'Summary tables'!$B$40:$B$47</c:f>
              <c:strCache>
                <c:ptCount val="8"/>
                <c:pt idx="0">
                  <c:v>Sensors</c:v>
                </c:pt>
                <c:pt idx="1">
                  <c:v>Cables &amp; hardware</c:v>
                </c:pt>
                <c:pt idx="2">
                  <c:v>DHF</c:v>
                </c:pt>
                <c:pt idx="3">
                  <c:v>ICL equipment</c:v>
                </c:pt>
                <c:pt idx="4">
                  <c:v>Firn Drill &amp; ARA drill</c:v>
                </c:pt>
                <c:pt idx="5">
                  <c:v>Generators, HPU, fuel tower</c:v>
                </c:pt>
                <c:pt idx="6">
                  <c:v>Hose, drill heads, weight stack, reels</c:v>
                </c:pt>
                <c:pt idx="7">
                  <c:v>Refit components, spare cable, support equipment</c:v>
                </c:pt>
              </c:strCache>
            </c:strRef>
          </c:cat>
          <c:val>
            <c:numRef>
              <c:f>'Summary tables'!$E$40:$E$47</c:f>
              <c:numCache>
                <c:formatCode>#,##0</c:formatCode>
                <c:ptCount val="8"/>
                <c:pt idx="0">
                  <c:v>73027</c:v>
                </c:pt>
                <c:pt idx="1">
                  <c:v>140616</c:v>
                </c:pt>
                <c:pt idx="2">
                  <c:v>12000</c:v>
                </c:pt>
                <c:pt idx="3">
                  <c:v>5075</c:v>
                </c:pt>
                <c:pt idx="4">
                  <c:v>20568</c:v>
                </c:pt>
                <c:pt idx="5">
                  <c:v>100341</c:v>
                </c:pt>
                <c:pt idx="6">
                  <c:v>76171</c:v>
                </c:pt>
                <c:pt idx="7">
                  <c:v>100628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2E-3C48-BB55-F8B5D24B1BB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IceCube Upgrade cargo by VOLUME</a:t>
            </a:r>
          </a:p>
        </c:rich>
      </c:tx>
      <c:layout>
        <c:manualLayout>
          <c:xMode val="edge"/>
          <c:yMode val="edge"/>
          <c:x val="0.39176758300837156"/>
          <c:y val="1.76389917830076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324-B448-B2BE-E0C82C89A8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324-B448-B2BE-E0C82C89A8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324-B448-B2BE-E0C82C89A8E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324-B448-B2BE-E0C82C89A8E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324-B448-B2BE-E0C82C89A8E1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7324-B448-B2BE-E0C82C89A8E1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7324-B448-B2BE-E0C82C89A8E1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635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7324-B448-B2BE-E0C82C89A8E1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7324-B448-B2BE-E0C82C89A8E1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7324-B448-B2BE-E0C82C89A8E1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7324-B448-B2BE-E0C82C89A8E1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7324-B448-B2BE-E0C82C89A8E1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5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7324-B448-B2BE-E0C82C89A8E1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7324-B448-B2BE-E0C82C89A8E1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7324-B448-B2BE-E0C82C89A8E1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>
                          <a:lumMod val="60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7324-B448-B2BE-E0C82C89A8E1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'Summary tables'!$B$40:$B$47</c:f>
              <c:strCache>
                <c:ptCount val="8"/>
                <c:pt idx="0">
                  <c:v>Sensors</c:v>
                </c:pt>
                <c:pt idx="1">
                  <c:v>Cables &amp; hardware</c:v>
                </c:pt>
                <c:pt idx="2">
                  <c:v>DHF</c:v>
                </c:pt>
                <c:pt idx="3">
                  <c:v>ICL equipment</c:v>
                </c:pt>
                <c:pt idx="4">
                  <c:v>Firn Drill &amp; ARA drill</c:v>
                </c:pt>
                <c:pt idx="5">
                  <c:v>Generators, HPU, fuel tower</c:v>
                </c:pt>
                <c:pt idx="6">
                  <c:v>Hose, drill heads, weight stack, reels</c:v>
                </c:pt>
                <c:pt idx="7">
                  <c:v>Refit components, spare cable, support equipment</c:v>
                </c:pt>
              </c:strCache>
            </c:strRef>
          </c:cat>
          <c:val>
            <c:numRef>
              <c:f>'Summary tables'!$C$40:$C$47</c:f>
              <c:numCache>
                <c:formatCode>#,##0</c:formatCode>
                <c:ptCount val="8"/>
                <c:pt idx="0">
                  <c:v>6177</c:v>
                </c:pt>
                <c:pt idx="1">
                  <c:v>6608</c:v>
                </c:pt>
                <c:pt idx="2">
                  <c:v>1280</c:v>
                </c:pt>
                <c:pt idx="3">
                  <c:v>432</c:v>
                </c:pt>
                <c:pt idx="4">
                  <c:v>2706</c:v>
                </c:pt>
                <c:pt idx="5">
                  <c:v>9615</c:v>
                </c:pt>
                <c:pt idx="6">
                  <c:v>5798</c:v>
                </c:pt>
                <c:pt idx="7">
                  <c:v>7865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324-B448-B2BE-E0C82C89A8E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370180</xdr:colOff>
      <xdr:row>1</xdr:row>
      <xdr:rowOff>131703</xdr:rowOff>
    </xdr:from>
    <xdr:to>
      <xdr:col>21</xdr:col>
      <xdr:colOff>598780</xdr:colOff>
      <xdr:row>21</xdr:row>
      <xdr:rowOff>4703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396DA2DF-24DD-C440-AFDC-83E745B860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742950</xdr:colOff>
      <xdr:row>72</xdr:row>
      <xdr:rowOff>533400</xdr:rowOff>
    </xdr:from>
    <xdr:to>
      <xdr:col>13</xdr:col>
      <xdr:colOff>603250</xdr:colOff>
      <xdr:row>83</xdr:row>
      <xdr:rowOff>139700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63BC106-46CE-9C40-9091-E3047201E02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838200</xdr:colOff>
      <xdr:row>72</xdr:row>
      <xdr:rowOff>565150</xdr:rowOff>
    </xdr:from>
    <xdr:to>
      <xdr:col>20</xdr:col>
      <xdr:colOff>190500</xdr:colOff>
      <xdr:row>83</xdr:row>
      <xdr:rowOff>63500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A1AB647-BE77-9B4C-BFED-35B457A0C2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50800</xdr:colOff>
      <xdr:row>91</xdr:row>
      <xdr:rowOff>12700</xdr:rowOff>
    </xdr:from>
    <xdr:to>
      <xdr:col>10</xdr:col>
      <xdr:colOff>1117600</xdr:colOff>
      <xdr:row>108</xdr:row>
      <xdr:rowOff>19050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66BCD65-0081-C64D-AB99-1293143494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1397000</xdr:colOff>
      <xdr:row>91</xdr:row>
      <xdr:rowOff>25400</xdr:rowOff>
    </xdr:from>
    <xdr:to>
      <xdr:col>16</xdr:col>
      <xdr:colOff>419100</xdr:colOff>
      <xdr:row>108</xdr:row>
      <xdr:rowOff>31750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E219806-A59F-8740-B105-789B2A1C83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351367</xdr:colOff>
      <xdr:row>22</xdr:row>
      <xdr:rowOff>29634</xdr:rowOff>
    </xdr:from>
    <xdr:to>
      <xdr:col>21</xdr:col>
      <xdr:colOff>579967</xdr:colOff>
      <xdr:row>42</xdr:row>
      <xdr:rowOff>182034</xdr:rowOff>
    </xdr:to>
    <xdr:graphicFrame macro="">
      <xdr:nvGraphicFramePr>
        <xdr:cNvPr id="2" name="Chart 6">
          <a:extLst>
            <a:ext uri="{FF2B5EF4-FFF2-40B4-BE49-F238E27FC236}">
              <a16:creationId xmlns:a16="http://schemas.microsoft.com/office/drawing/2014/main" id="{83D49D8E-34EF-9B4A-BC00-10ADFA9529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321026</xdr:colOff>
      <xdr:row>45</xdr:row>
      <xdr:rowOff>6350</xdr:rowOff>
    </xdr:from>
    <xdr:to>
      <xdr:col>13</xdr:col>
      <xdr:colOff>772819</xdr:colOff>
      <xdr:row>69</xdr:row>
      <xdr:rowOff>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EA67DBF6-C45A-C647-9503-2BE252F519B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0</xdr:colOff>
      <xdr:row>45</xdr:row>
      <xdr:rowOff>0</xdr:rowOff>
    </xdr:from>
    <xdr:to>
      <xdr:col>21</xdr:col>
      <xdr:colOff>810215</xdr:colOff>
      <xdr:row>69</xdr:row>
      <xdr:rowOff>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7776245A-9865-9B42-8CB3-EE60824A03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30D5B8-41A4-4293-8487-86AEA8FCBB0F}">
  <sheetPr codeName="Sheet1"/>
  <dimension ref="A1:CD166"/>
  <sheetViews>
    <sheetView zoomScale="92" zoomScaleNormal="48" workbookViewId="0">
      <pane xSplit="4" ySplit="1" topLeftCell="O79" activePane="bottomRight" state="frozen"/>
      <selection pane="topRight" activeCell="H33" sqref="H33"/>
      <selection pane="bottomLeft" activeCell="H33" sqref="H33"/>
      <selection pane="bottomRight" activeCell="Q85" sqref="Q85"/>
    </sheetView>
  </sheetViews>
  <sheetFormatPr baseColWidth="10" defaultColWidth="9.1640625" defaultRowHeight="16" x14ac:dyDescent="0.2"/>
  <cols>
    <col min="1" max="1" width="14.1640625" style="8" customWidth="1"/>
    <col min="2" max="2" width="17.6640625" style="8" customWidth="1"/>
    <col min="3" max="3" width="32.6640625" style="12" customWidth="1"/>
    <col min="4" max="4" width="37.1640625" style="12" customWidth="1"/>
    <col min="5" max="12" width="12.83203125" style="8" customWidth="1"/>
    <col min="13" max="13" width="12.83203125" style="50" customWidth="1"/>
    <col min="14" max="14" width="12.83203125" style="8" customWidth="1"/>
    <col min="15" max="15" width="18.83203125" style="8" customWidth="1"/>
    <col min="16" max="16" width="26" style="8" customWidth="1"/>
    <col min="17" max="18" width="18.83203125" style="54" customWidth="1"/>
    <col min="19" max="21" width="18.83203125" style="8" customWidth="1"/>
    <col min="22" max="22" width="18.83203125" style="59" customWidth="1"/>
    <col min="23" max="24" width="18.83203125" style="8" customWidth="1"/>
    <col min="25" max="28" width="18.83203125" style="59" customWidth="1"/>
    <col min="29" max="29" width="18.83203125" style="370" customWidth="1"/>
    <col min="30" max="30" width="18.83203125" style="54" customWidth="1"/>
    <col min="31" max="31" width="18.83203125" style="59" customWidth="1"/>
    <col min="32" max="32" width="18.83203125" style="384" customWidth="1"/>
    <col min="33" max="35" width="18.83203125" style="59" customWidth="1"/>
    <col min="36" max="36" width="18.83203125" style="370" customWidth="1"/>
    <col min="37" max="37" width="18.83203125" style="259" customWidth="1"/>
    <col min="38" max="38" width="18.83203125" style="54" customWidth="1"/>
    <col min="39" max="39" width="18.83203125" style="522" customWidth="1"/>
    <col min="40" max="40" width="19.5" style="522" customWidth="1"/>
    <col min="41" max="42" width="18.83203125" style="59" customWidth="1"/>
    <col min="43" max="43" width="18.83203125" style="54" customWidth="1"/>
    <col min="44" max="44" width="18.83203125" style="59" customWidth="1"/>
    <col min="45" max="45" width="18.83203125" style="54" customWidth="1"/>
    <col min="46" max="46" width="71.1640625" style="59" customWidth="1"/>
    <col min="47" max="47" width="38.1640625" style="8" customWidth="1"/>
    <col min="48" max="16384" width="9.1640625" style="8"/>
  </cols>
  <sheetData>
    <row r="1" spans="1:46" ht="85" x14ac:dyDescent="0.2">
      <c r="A1" s="633" t="s">
        <v>0</v>
      </c>
      <c r="B1" s="23" t="s">
        <v>1</v>
      </c>
      <c r="C1" s="24" t="s">
        <v>2</v>
      </c>
      <c r="D1" s="24" t="s">
        <v>3</v>
      </c>
      <c r="E1" s="833" t="s">
        <v>4</v>
      </c>
      <c r="F1" s="833" t="s">
        <v>5</v>
      </c>
      <c r="G1" s="833" t="s">
        <v>6</v>
      </c>
      <c r="H1" s="833" t="s">
        <v>7</v>
      </c>
      <c r="I1" s="23" t="s">
        <v>8</v>
      </c>
      <c r="J1" s="23" t="s">
        <v>9</v>
      </c>
      <c r="K1" s="833" t="s">
        <v>10</v>
      </c>
      <c r="L1" s="23" t="s">
        <v>11</v>
      </c>
      <c r="M1" s="833" t="s">
        <v>12</v>
      </c>
      <c r="N1" s="833" t="s">
        <v>13</v>
      </c>
      <c r="O1" s="833" t="s">
        <v>14</v>
      </c>
      <c r="P1" s="631" t="s">
        <v>656</v>
      </c>
      <c r="Q1" s="834" t="s">
        <v>650</v>
      </c>
      <c r="R1" s="839" t="s">
        <v>655</v>
      </c>
      <c r="S1" s="840" t="s">
        <v>17</v>
      </c>
      <c r="T1" s="840" t="s">
        <v>18</v>
      </c>
      <c r="U1" s="835" t="s">
        <v>651</v>
      </c>
      <c r="V1" s="540" t="s">
        <v>652</v>
      </c>
      <c r="W1" s="835" t="s">
        <v>21</v>
      </c>
      <c r="X1" s="27" t="s">
        <v>653</v>
      </c>
      <c r="Y1" s="864" t="s">
        <v>23</v>
      </c>
      <c r="Z1" s="864" t="s">
        <v>24</v>
      </c>
      <c r="AA1" s="864" t="s">
        <v>25</v>
      </c>
      <c r="AB1" s="864" t="s">
        <v>26</v>
      </c>
      <c r="AC1" s="361" t="s">
        <v>27</v>
      </c>
      <c r="AD1" s="838" t="s">
        <v>654</v>
      </c>
      <c r="AE1" s="625" t="s">
        <v>29</v>
      </c>
      <c r="AF1" s="632" t="s">
        <v>30</v>
      </c>
      <c r="AG1" s="863" t="s">
        <v>31</v>
      </c>
      <c r="AH1" s="864" t="s">
        <v>32</v>
      </c>
      <c r="AI1" s="864" t="s">
        <v>33</v>
      </c>
      <c r="AJ1" s="622" t="s">
        <v>34</v>
      </c>
      <c r="AK1" s="836" t="s">
        <v>35</v>
      </c>
      <c r="AL1" s="837" t="s">
        <v>36</v>
      </c>
      <c r="AM1" s="848" t="s">
        <v>37</v>
      </c>
      <c r="AN1" s="849" t="s">
        <v>657</v>
      </c>
      <c r="AO1" s="368" t="s">
        <v>38</v>
      </c>
      <c r="AP1" s="368" t="s">
        <v>39</v>
      </c>
      <c r="AQ1" s="57" t="s">
        <v>40</v>
      </c>
      <c r="AR1" s="368" t="s">
        <v>41</v>
      </c>
      <c r="AS1" s="57" t="s">
        <v>42</v>
      </c>
      <c r="AT1" s="368" t="s">
        <v>43</v>
      </c>
    </row>
    <row r="2" spans="1:46" ht="19" customHeight="1" x14ac:dyDescent="0.2">
      <c r="A2" s="683" t="s">
        <v>44</v>
      </c>
      <c r="B2" s="683"/>
      <c r="C2" s="679"/>
      <c r="D2" s="387"/>
      <c r="E2" s="269"/>
      <c r="F2" s="269"/>
      <c r="G2" s="269"/>
      <c r="H2" s="269"/>
      <c r="I2" s="269"/>
      <c r="J2" s="269"/>
      <c r="K2" s="269"/>
      <c r="L2" s="269"/>
      <c r="M2" s="269"/>
      <c r="N2" s="269"/>
      <c r="O2" s="751"/>
      <c r="P2" s="751"/>
      <c r="Q2" s="270"/>
      <c r="R2" s="752"/>
      <c r="S2" s="751"/>
      <c r="T2" s="751"/>
      <c r="U2" s="753"/>
      <c r="V2" s="754"/>
      <c r="W2" s="751"/>
      <c r="X2" s="753"/>
      <c r="Y2" s="363"/>
      <c r="Z2" s="363"/>
      <c r="AA2" s="363"/>
      <c r="AB2" s="363"/>
      <c r="AC2" s="363"/>
      <c r="AD2" s="270"/>
      <c r="AE2" s="754"/>
      <c r="AF2" s="627" t="str">
        <f t="shared" ref="AF2:AF25" si="0">IFERROR(_xlfn.XLOOKUP(AK2,$B$155:$B$166,$A$155:$A$166),IFERROR(IF(AK2="","",IF(MONTH(AK2)&lt;10,_xlfn.TEXTJOIN("",TRUE,"FY",TEXT(AK2,"YY")," LC-130"),IF(MONTH(AK2)&gt;10,_xlfn.TEXTJOIN("",TRUE,"FY",YEAR(AK2)-2000+1," LC-130")))),AK2))</f>
        <v/>
      </c>
      <c r="AG2" s="363"/>
      <c r="AH2" s="363"/>
      <c r="AI2" s="363"/>
      <c r="AJ2" s="363"/>
      <c r="AK2" s="624"/>
      <c r="AL2" s="752"/>
      <c r="AM2" s="755"/>
      <c r="AN2" s="755"/>
      <c r="AO2" s="754"/>
      <c r="AP2" s="754"/>
      <c r="AQ2" s="752"/>
      <c r="AR2" s="754"/>
      <c r="AS2" s="752"/>
      <c r="AT2" s="363"/>
    </row>
    <row r="3" spans="1:46" ht="17" x14ac:dyDescent="0.2">
      <c r="A3" s="634" t="s">
        <v>45</v>
      </c>
      <c r="B3" s="38"/>
      <c r="C3" s="9" t="s">
        <v>45</v>
      </c>
      <c r="D3" s="9" t="s">
        <v>45</v>
      </c>
      <c r="E3" s="4"/>
      <c r="F3" s="4"/>
      <c r="G3" s="4"/>
      <c r="H3" s="4"/>
      <c r="I3" s="4"/>
      <c r="J3" s="4"/>
      <c r="K3" s="4"/>
      <c r="L3" s="4"/>
      <c r="M3" s="4"/>
      <c r="N3" s="4" t="s">
        <v>45</v>
      </c>
      <c r="O3" s="756"/>
      <c r="P3" s="756" t="s">
        <v>45</v>
      </c>
      <c r="Q3" s="708" t="s">
        <v>45</v>
      </c>
      <c r="R3" s="757" t="s">
        <v>45</v>
      </c>
      <c r="S3" s="757" t="s">
        <v>45</v>
      </c>
      <c r="T3" s="758" t="s">
        <v>45</v>
      </c>
      <c r="U3" s="742" t="s">
        <v>45</v>
      </c>
      <c r="V3" s="541" t="s">
        <v>45</v>
      </c>
      <c r="W3" s="742" t="s">
        <v>45</v>
      </c>
      <c r="X3" s="759" t="str">
        <f t="shared" ref="X3:X6" si="1">IF(ISNUMBER(SEARCH("Vessel",W3)),"USAP Vessel",IF(ISNUMBER(SEARCH("Comsur",W3)),"USAP Air",W3))</f>
        <v>-</v>
      </c>
      <c r="Y3" s="316" t="s">
        <v>45</v>
      </c>
      <c r="Z3" s="316" t="s">
        <v>45</v>
      </c>
      <c r="AA3" s="316" t="s">
        <v>45</v>
      </c>
      <c r="AB3" s="316" t="s">
        <v>45</v>
      </c>
      <c r="AC3" s="316" t="s">
        <v>45</v>
      </c>
      <c r="AD3" s="760" t="s">
        <v>45</v>
      </c>
      <c r="AE3" s="363" t="s">
        <v>45</v>
      </c>
      <c r="AF3" s="363" t="str">
        <f t="shared" si="0"/>
        <v>-</v>
      </c>
      <c r="AG3" s="316" t="s">
        <v>45</v>
      </c>
      <c r="AH3" s="316" t="s">
        <v>45</v>
      </c>
      <c r="AI3" s="316" t="s">
        <v>45</v>
      </c>
      <c r="AJ3" s="316" t="s">
        <v>45</v>
      </c>
      <c r="AK3" s="53" t="s">
        <v>45</v>
      </c>
      <c r="AL3" s="53" t="s">
        <v>45</v>
      </c>
      <c r="AM3" s="539" t="s">
        <v>45</v>
      </c>
      <c r="AN3" s="539" t="s">
        <v>45</v>
      </c>
      <c r="AO3" s="316" t="s">
        <v>45</v>
      </c>
      <c r="AP3" s="316" t="s">
        <v>45</v>
      </c>
      <c r="AQ3" s="53" t="s">
        <v>45</v>
      </c>
      <c r="AR3" s="316" t="s">
        <v>45</v>
      </c>
      <c r="AS3" s="53" t="s">
        <v>45</v>
      </c>
      <c r="AT3" s="316" t="s">
        <v>45</v>
      </c>
    </row>
    <row r="4" spans="1:46" ht="17" x14ac:dyDescent="0.2">
      <c r="A4" s="634" t="s">
        <v>45</v>
      </c>
      <c r="B4" s="38"/>
      <c r="C4" s="9" t="s">
        <v>45</v>
      </c>
      <c r="D4" s="9" t="s">
        <v>45</v>
      </c>
      <c r="E4" s="4"/>
      <c r="F4" s="4"/>
      <c r="G4" s="4"/>
      <c r="H4" s="4"/>
      <c r="I4" s="4"/>
      <c r="J4" s="4"/>
      <c r="K4" s="4"/>
      <c r="L4" s="4"/>
      <c r="M4" s="4"/>
      <c r="N4" s="4" t="s">
        <v>45</v>
      </c>
      <c r="O4" s="756"/>
      <c r="P4" s="756" t="s">
        <v>45</v>
      </c>
      <c r="Q4" s="708" t="s">
        <v>45</v>
      </c>
      <c r="R4" s="757" t="s">
        <v>45</v>
      </c>
      <c r="S4" s="757" t="s">
        <v>45</v>
      </c>
      <c r="T4" s="758" t="s">
        <v>45</v>
      </c>
      <c r="U4" s="742" t="s">
        <v>45</v>
      </c>
      <c r="V4" s="541" t="s">
        <v>45</v>
      </c>
      <c r="W4" s="742" t="s">
        <v>45</v>
      </c>
      <c r="X4" s="759" t="str">
        <f t="shared" si="1"/>
        <v>-</v>
      </c>
      <c r="Y4" s="316" t="s">
        <v>45</v>
      </c>
      <c r="Z4" s="316" t="s">
        <v>45</v>
      </c>
      <c r="AA4" s="316" t="s">
        <v>45</v>
      </c>
      <c r="AB4" s="316" t="s">
        <v>45</v>
      </c>
      <c r="AC4" s="316" t="s">
        <v>45</v>
      </c>
      <c r="AD4" s="760" t="s">
        <v>45</v>
      </c>
      <c r="AE4" s="363" t="s">
        <v>45</v>
      </c>
      <c r="AF4" s="363" t="str">
        <f t="shared" si="0"/>
        <v>-</v>
      </c>
      <c r="AG4" s="316" t="s">
        <v>45</v>
      </c>
      <c r="AH4" s="316" t="s">
        <v>45</v>
      </c>
      <c r="AI4" s="316" t="s">
        <v>45</v>
      </c>
      <c r="AJ4" s="316" t="s">
        <v>45</v>
      </c>
      <c r="AK4" s="53" t="s">
        <v>45</v>
      </c>
      <c r="AL4" s="53" t="s">
        <v>45</v>
      </c>
      <c r="AM4" s="539" t="s">
        <v>45</v>
      </c>
      <c r="AN4" s="539" t="s">
        <v>45</v>
      </c>
      <c r="AO4" s="316" t="s">
        <v>45</v>
      </c>
      <c r="AP4" s="316" t="s">
        <v>45</v>
      </c>
      <c r="AQ4" s="53" t="s">
        <v>45</v>
      </c>
      <c r="AR4" s="316" t="s">
        <v>45</v>
      </c>
      <c r="AS4" s="53" t="s">
        <v>45</v>
      </c>
      <c r="AT4" s="316" t="s">
        <v>45</v>
      </c>
    </row>
    <row r="5" spans="1:46" ht="17" x14ac:dyDescent="0.2">
      <c r="A5" s="634" t="s">
        <v>45</v>
      </c>
      <c r="B5" s="38"/>
      <c r="C5" s="9" t="s">
        <v>45</v>
      </c>
      <c r="D5" s="9" t="s">
        <v>45</v>
      </c>
      <c r="E5" s="4"/>
      <c r="F5" s="4"/>
      <c r="G5" s="4"/>
      <c r="H5" s="4"/>
      <c r="I5" s="4"/>
      <c r="J5" s="4"/>
      <c r="K5" s="4"/>
      <c r="L5" s="4"/>
      <c r="M5" s="4"/>
      <c r="N5" s="4" t="s">
        <v>45</v>
      </c>
      <c r="O5" s="756"/>
      <c r="P5" s="756" t="s">
        <v>45</v>
      </c>
      <c r="Q5" s="708" t="s">
        <v>45</v>
      </c>
      <c r="R5" s="757" t="s">
        <v>45</v>
      </c>
      <c r="S5" s="757" t="s">
        <v>45</v>
      </c>
      <c r="T5" s="758" t="s">
        <v>45</v>
      </c>
      <c r="U5" s="742" t="s">
        <v>45</v>
      </c>
      <c r="V5" s="541" t="s">
        <v>45</v>
      </c>
      <c r="W5" s="742" t="s">
        <v>45</v>
      </c>
      <c r="X5" s="759" t="str">
        <f t="shared" si="1"/>
        <v>-</v>
      </c>
      <c r="Y5" s="316" t="s">
        <v>45</v>
      </c>
      <c r="Z5" s="316" t="s">
        <v>45</v>
      </c>
      <c r="AA5" s="316" t="s">
        <v>45</v>
      </c>
      <c r="AB5" s="316" t="s">
        <v>45</v>
      </c>
      <c r="AC5" s="316" t="s">
        <v>45</v>
      </c>
      <c r="AD5" s="760" t="s">
        <v>45</v>
      </c>
      <c r="AE5" s="363" t="s">
        <v>45</v>
      </c>
      <c r="AF5" s="363" t="str">
        <f t="shared" si="0"/>
        <v>-</v>
      </c>
      <c r="AG5" s="316" t="s">
        <v>45</v>
      </c>
      <c r="AH5" s="316" t="s">
        <v>45</v>
      </c>
      <c r="AI5" s="316" t="s">
        <v>45</v>
      </c>
      <c r="AJ5" s="316" t="s">
        <v>45</v>
      </c>
      <c r="AK5" s="53" t="s">
        <v>45</v>
      </c>
      <c r="AL5" s="53" t="s">
        <v>45</v>
      </c>
      <c r="AM5" s="539" t="s">
        <v>45</v>
      </c>
      <c r="AN5" s="539" t="s">
        <v>45</v>
      </c>
      <c r="AO5" s="316" t="s">
        <v>45</v>
      </c>
      <c r="AP5" s="316" t="s">
        <v>45</v>
      </c>
      <c r="AQ5" s="53" t="s">
        <v>45</v>
      </c>
      <c r="AR5" s="316" t="s">
        <v>45</v>
      </c>
      <c r="AS5" s="53" t="s">
        <v>45</v>
      </c>
      <c r="AT5" s="316" t="s">
        <v>45</v>
      </c>
    </row>
    <row r="6" spans="1:46" ht="17" x14ac:dyDescent="0.2">
      <c r="A6" s="635" t="s">
        <v>45</v>
      </c>
      <c r="B6" s="276"/>
      <c r="C6" s="275" t="s">
        <v>45</v>
      </c>
      <c r="D6" s="275" t="s">
        <v>45</v>
      </c>
      <c r="E6" s="4"/>
      <c r="F6" s="4"/>
      <c r="G6" s="4"/>
      <c r="H6" s="4"/>
      <c r="I6" s="4"/>
      <c r="J6" s="4"/>
      <c r="K6" s="4"/>
      <c r="L6" s="4"/>
      <c r="M6" s="4"/>
      <c r="N6" s="4" t="s">
        <v>45</v>
      </c>
      <c r="O6" s="756"/>
      <c r="P6" s="756" t="s">
        <v>45</v>
      </c>
      <c r="Q6" s="708" t="s">
        <v>45</v>
      </c>
      <c r="R6" s="757" t="s">
        <v>45</v>
      </c>
      <c r="S6" s="757" t="s">
        <v>45</v>
      </c>
      <c r="T6" s="758" t="s">
        <v>45</v>
      </c>
      <c r="U6" s="742" t="s">
        <v>45</v>
      </c>
      <c r="V6" s="541" t="s">
        <v>45</v>
      </c>
      <c r="W6" s="742" t="s">
        <v>45</v>
      </c>
      <c r="X6" s="759" t="str">
        <f t="shared" si="1"/>
        <v>-</v>
      </c>
      <c r="Y6" s="316" t="s">
        <v>45</v>
      </c>
      <c r="Z6" s="316" t="s">
        <v>45</v>
      </c>
      <c r="AA6" s="316" t="s">
        <v>45</v>
      </c>
      <c r="AB6" s="316" t="s">
        <v>45</v>
      </c>
      <c r="AC6" s="316" t="s">
        <v>45</v>
      </c>
      <c r="AD6" s="760" t="s">
        <v>45</v>
      </c>
      <c r="AE6" s="363" t="s">
        <v>45</v>
      </c>
      <c r="AF6" s="363" t="str">
        <f t="shared" si="0"/>
        <v>-</v>
      </c>
      <c r="AG6" s="316" t="s">
        <v>45</v>
      </c>
      <c r="AH6" s="316" t="s">
        <v>45</v>
      </c>
      <c r="AI6" s="316" t="s">
        <v>45</v>
      </c>
      <c r="AJ6" s="316" t="s">
        <v>45</v>
      </c>
      <c r="AK6" s="53" t="s">
        <v>45</v>
      </c>
      <c r="AL6" s="53" t="s">
        <v>45</v>
      </c>
      <c r="AM6" s="539" t="s">
        <v>45</v>
      </c>
      <c r="AN6" s="539" t="s">
        <v>45</v>
      </c>
      <c r="AO6" s="316" t="s">
        <v>45</v>
      </c>
      <c r="AP6" s="316" t="s">
        <v>45</v>
      </c>
      <c r="AQ6" s="53" t="s">
        <v>45</v>
      </c>
      <c r="AR6" s="316" t="s">
        <v>45</v>
      </c>
      <c r="AS6" s="53" t="s">
        <v>45</v>
      </c>
      <c r="AT6" s="316" t="s">
        <v>45</v>
      </c>
    </row>
    <row r="7" spans="1:46" s="60" customFormat="1" ht="20" customHeight="1" x14ac:dyDescent="0.2">
      <c r="A7" s="273"/>
      <c r="B7" s="273"/>
      <c r="C7" s="279"/>
      <c r="D7" s="280" t="s">
        <v>46</v>
      </c>
      <c r="E7" s="274"/>
      <c r="F7" s="41"/>
      <c r="G7" s="34" t="s">
        <v>47</v>
      </c>
      <c r="H7" s="92">
        <f>J7/(1360*0.7)</f>
        <v>0</v>
      </c>
      <c r="I7" s="92"/>
      <c r="J7" s="41">
        <f>SUM(J2:J6)</f>
        <v>0</v>
      </c>
      <c r="K7" s="41"/>
      <c r="L7" s="42">
        <f>SUM(L2:L6)</f>
        <v>0</v>
      </c>
      <c r="M7" s="42"/>
      <c r="N7" s="42"/>
      <c r="O7" s="42"/>
      <c r="P7" s="42"/>
      <c r="Q7" s="52"/>
      <c r="R7" s="52"/>
      <c r="S7" s="43"/>
      <c r="T7" s="44"/>
      <c r="U7" s="43"/>
      <c r="V7" s="369" t="str">
        <f>IF(ISBLANK(AD7),"",IFERROR(LOOKUP(AD7,FY_dates, inter_label),AD7))</f>
        <v/>
      </c>
      <c r="W7" s="44"/>
      <c r="X7" s="44"/>
      <c r="Y7" s="373"/>
      <c r="Z7" s="373"/>
      <c r="AA7" s="373"/>
      <c r="AB7" s="373"/>
      <c r="AC7" s="364"/>
      <c r="AD7" s="52"/>
      <c r="AE7" s="369" t="str">
        <f>IF(ISBLANK(AL7),"",IFERROR(LOOKUP(AL7,FY_dates, intra_label),AL7))</f>
        <v/>
      </c>
      <c r="AF7" s="373"/>
      <c r="AG7" s="373"/>
      <c r="AH7" s="373"/>
      <c r="AI7" s="373"/>
      <c r="AJ7" s="364"/>
      <c r="AK7" s="257"/>
      <c r="AL7" s="52"/>
      <c r="AM7" s="657"/>
      <c r="AN7" s="657"/>
      <c r="AO7" s="369"/>
      <c r="AP7" s="369"/>
      <c r="AQ7" s="52"/>
      <c r="AR7" s="369"/>
      <c r="AS7" s="52"/>
      <c r="AT7" s="369"/>
    </row>
    <row r="8" spans="1:46" ht="19" customHeight="1" x14ac:dyDescent="0.2">
      <c r="A8" s="683" t="s">
        <v>48</v>
      </c>
      <c r="B8" s="680"/>
      <c r="C8" s="680"/>
      <c r="D8" s="681"/>
      <c r="E8" s="269"/>
      <c r="F8" s="269"/>
      <c r="G8" s="269"/>
      <c r="H8" s="269"/>
      <c r="I8" s="269"/>
      <c r="J8" s="269"/>
      <c r="K8" s="269"/>
      <c r="L8" s="269"/>
      <c r="M8" s="269"/>
      <c r="N8" s="269"/>
      <c r="O8" s="751"/>
      <c r="P8" s="751"/>
      <c r="Q8" s="270"/>
      <c r="R8" s="752"/>
      <c r="S8" s="751"/>
      <c r="T8" s="751"/>
      <c r="U8" s="753"/>
      <c r="V8" s="754"/>
      <c r="W8" s="751"/>
      <c r="X8" s="751"/>
      <c r="Y8" s="374"/>
      <c r="Z8" s="365"/>
      <c r="AA8" s="365"/>
      <c r="AB8" s="365"/>
      <c r="AC8" s="365"/>
      <c r="AD8" s="270"/>
      <c r="AE8" s="754"/>
      <c r="AF8" s="363" t="str">
        <f t="shared" si="0"/>
        <v/>
      </c>
      <c r="AG8" s="365"/>
      <c r="AH8" s="365"/>
      <c r="AI8" s="365"/>
      <c r="AJ8" s="365"/>
      <c r="AK8" s="271"/>
      <c r="AL8" s="752"/>
      <c r="AM8" s="755"/>
      <c r="AN8" s="755"/>
      <c r="AO8" s="754"/>
      <c r="AP8" s="754"/>
      <c r="AQ8" s="752"/>
      <c r="AR8" s="754"/>
      <c r="AS8" s="752"/>
      <c r="AT8" s="374"/>
    </row>
    <row r="9" spans="1:46" ht="34" x14ac:dyDescent="0.2">
      <c r="A9" s="634">
        <v>1.2</v>
      </c>
      <c r="B9" s="38" t="s">
        <v>49</v>
      </c>
      <c r="C9" s="11" t="s">
        <v>50</v>
      </c>
      <c r="D9" s="3" t="s">
        <v>51</v>
      </c>
      <c r="E9" s="4">
        <v>240</v>
      </c>
      <c r="F9" s="4">
        <v>96</v>
      </c>
      <c r="G9" s="4">
        <v>102</v>
      </c>
      <c r="H9" s="4">
        <v>1</v>
      </c>
      <c r="I9" s="4">
        <f>ROUNDUP(E9*F9*G9/1728,0)</f>
        <v>1360</v>
      </c>
      <c r="J9" s="4">
        <f>I9*H9</f>
        <v>1360</v>
      </c>
      <c r="K9" s="4">
        <v>22000</v>
      </c>
      <c r="L9" s="4">
        <f>IF(ISERROR(SEARCH("totals", C9)),H9*K9, "")</f>
        <v>22000</v>
      </c>
      <c r="M9" s="4" t="s">
        <v>52</v>
      </c>
      <c r="N9" s="4" t="s">
        <v>45</v>
      </c>
      <c r="O9" s="756" t="s">
        <v>53</v>
      </c>
      <c r="P9" s="756" t="s">
        <v>54</v>
      </c>
      <c r="Q9" s="708">
        <v>43867</v>
      </c>
      <c r="R9" s="757" t="s">
        <v>45</v>
      </c>
      <c r="S9" s="758" t="s">
        <v>54</v>
      </c>
      <c r="T9" s="758" t="s">
        <v>45</v>
      </c>
      <c r="U9" s="759" t="s">
        <v>54</v>
      </c>
      <c r="V9" s="741" t="str">
        <f t="shared" ref="V9:V28" si="2">IF(ISBLANK(AD9),"",IFERROR(LOOKUP(AD9,FY_dates, inter_label),AD9))</f>
        <v>In McMurdo</v>
      </c>
      <c r="W9" s="742" t="s">
        <v>55</v>
      </c>
      <c r="X9" s="759" t="str">
        <f>IF(ISNUMBER(SEARCH("Vessel",W9)),"USAP Vessel",IF(ISNUMBER(SEARCH("Comsur",W9)),"USAP Air",W9))</f>
        <v>in McMurdo</v>
      </c>
      <c r="Y9" s="316" t="s">
        <v>45</v>
      </c>
      <c r="Z9" s="316" t="s">
        <v>45</v>
      </c>
      <c r="AA9" s="316" t="s">
        <v>45</v>
      </c>
      <c r="AB9" s="316" t="s">
        <v>45</v>
      </c>
      <c r="AC9" s="316" t="s">
        <v>45</v>
      </c>
      <c r="AD9" s="58" t="s">
        <v>54</v>
      </c>
      <c r="AE9" s="754" t="str">
        <f t="shared" ref="AE9:AE26" si="3">IF(ISBLANK(AK9),"",IFERROR(LOOKUP(AK9,FY_dates, intra_label),AK9))</f>
        <v>FY23 intra</v>
      </c>
      <c r="AF9" s="363" t="str">
        <f t="shared" si="0"/>
        <v>FY23 SPOT 2</v>
      </c>
      <c r="AG9" s="320" t="s">
        <v>45</v>
      </c>
      <c r="AH9" s="320">
        <v>0.5</v>
      </c>
      <c r="AI9" s="320" t="s">
        <v>45</v>
      </c>
      <c r="AJ9" s="371" t="s">
        <v>45</v>
      </c>
      <c r="AK9" s="53">
        <v>44927</v>
      </c>
      <c r="AL9" s="53">
        <v>45261</v>
      </c>
      <c r="AM9" s="761">
        <f>AL9-AK9</f>
        <v>334</v>
      </c>
      <c r="AN9" s="761" t="str">
        <f>IFERROR(AL9-R9,R9)</f>
        <v>-</v>
      </c>
      <c r="AO9" s="762" t="s">
        <v>56</v>
      </c>
      <c r="AP9" s="762" t="s">
        <v>57</v>
      </c>
      <c r="AQ9" s="702">
        <v>44475</v>
      </c>
      <c r="AR9" s="762" t="s">
        <v>58</v>
      </c>
      <c r="AS9" s="702">
        <v>44475</v>
      </c>
      <c r="AT9" s="316" t="s">
        <v>59</v>
      </c>
    </row>
    <row r="10" spans="1:46" ht="34" x14ac:dyDescent="0.2">
      <c r="A10" s="634">
        <v>1.2</v>
      </c>
      <c r="B10" s="38" t="s">
        <v>49</v>
      </c>
      <c r="C10" s="11" t="s">
        <v>60</v>
      </c>
      <c r="D10" s="3" t="s">
        <v>61</v>
      </c>
      <c r="E10" s="4">
        <v>240</v>
      </c>
      <c r="F10" s="4">
        <v>96</v>
      </c>
      <c r="G10" s="4">
        <v>102</v>
      </c>
      <c r="H10" s="4">
        <v>1</v>
      </c>
      <c r="I10" s="4">
        <f t="shared" ref="I10:I27" si="4">ROUNDUP(E10*F10*G10/1728,0)</f>
        <v>1360</v>
      </c>
      <c r="J10" s="4">
        <f t="shared" ref="J10:J27" si="5">I10*H10</f>
        <v>1360</v>
      </c>
      <c r="K10" s="4">
        <v>22000</v>
      </c>
      <c r="L10" s="4">
        <f t="shared" ref="L10:L79" si="6">IF(ISERROR(SEARCH("totals", C10)),H10*K10, "")</f>
        <v>22000</v>
      </c>
      <c r="M10" s="4" t="s">
        <v>52</v>
      </c>
      <c r="N10" s="4" t="s">
        <v>45</v>
      </c>
      <c r="O10" s="756" t="s">
        <v>53</v>
      </c>
      <c r="P10" s="756" t="s">
        <v>54</v>
      </c>
      <c r="Q10" s="708">
        <v>43845</v>
      </c>
      <c r="R10" s="757" t="s">
        <v>45</v>
      </c>
      <c r="S10" s="758" t="s">
        <v>54</v>
      </c>
      <c r="T10" s="758" t="s">
        <v>45</v>
      </c>
      <c r="U10" s="759" t="s">
        <v>54</v>
      </c>
      <c r="V10" s="741" t="str">
        <f t="shared" si="2"/>
        <v>FY23 inter</v>
      </c>
      <c r="W10" s="742" t="s">
        <v>62</v>
      </c>
      <c r="X10" s="759" t="str">
        <f t="shared" ref="X10:X74" si="7">IF(ISNUMBER(SEARCH("Vessel",W10)),"USAP Vessel",IF(ISNUMBER(SEARCH("Comsur",W10)),"USAP Air",W10))</f>
        <v>USAP Vessel</v>
      </c>
      <c r="Y10" s="316" t="s">
        <v>45</v>
      </c>
      <c r="Z10" s="316" t="s">
        <v>45</v>
      </c>
      <c r="AA10" s="316" t="s">
        <v>45</v>
      </c>
      <c r="AB10" s="316" t="s">
        <v>45</v>
      </c>
      <c r="AC10" s="316" t="s">
        <v>45</v>
      </c>
      <c r="AD10" s="58">
        <v>44963</v>
      </c>
      <c r="AE10" s="754" t="str">
        <f t="shared" si="3"/>
        <v>FY24 intra</v>
      </c>
      <c r="AF10" s="363" t="str">
        <f t="shared" si="0"/>
        <v>FY24 SPOT 1</v>
      </c>
      <c r="AG10" s="320">
        <v>0.5</v>
      </c>
      <c r="AH10" s="320"/>
      <c r="AI10" s="320" t="s">
        <v>45</v>
      </c>
      <c r="AJ10" s="371" t="s">
        <v>45</v>
      </c>
      <c r="AK10" s="53">
        <v>45261</v>
      </c>
      <c r="AL10" s="53">
        <v>45261</v>
      </c>
      <c r="AM10" s="761">
        <f t="shared" ref="AM10:AM26" si="8">AL10-AK10</f>
        <v>0</v>
      </c>
      <c r="AN10" s="761" t="str">
        <f t="shared" ref="AN10:AN73" si="9">IFERROR(AL10-R10,R10)</f>
        <v>-</v>
      </c>
      <c r="AO10" s="762" t="s">
        <v>56</v>
      </c>
      <c r="AP10" s="762" t="s">
        <v>58</v>
      </c>
      <c r="AQ10" s="702">
        <v>44616</v>
      </c>
      <c r="AR10" s="762" t="s">
        <v>63</v>
      </c>
      <c r="AS10" s="702">
        <v>44616</v>
      </c>
      <c r="AT10" s="762" t="s">
        <v>64</v>
      </c>
    </row>
    <row r="11" spans="1:46" ht="51" x14ac:dyDescent="0.2">
      <c r="A11" s="636">
        <v>1.2</v>
      </c>
      <c r="B11" s="38" t="s">
        <v>49</v>
      </c>
      <c r="C11" s="11" t="s">
        <v>65</v>
      </c>
      <c r="D11" s="3" t="s">
        <v>66</v>
      </c>
      <c r="E11" s="4">
        <v>240</v>
      </c>
      <c r="F11" s="4">
        <v>96</v>
      </c>
      <c r="G11" s="4">
        <v>102</v>
      </c>
      <c r="H11" s="20">
        <v>1</v>
      </c>
      <c r="I11" s="4">
        <f t="shared" si="4"/>
        <v>1360</v>
      </c>
      <c r="J11" s="4">
        <f t="shared" si="5"/>
        <v>1360</v>
      </c>
      <c r="K11" s="4">
        <v>22000</v>
      </c>
      <c r="L11" s="4">
        <f t="shared" si="6"/>
        <v>22000</v>
      </c>
      <c r="M11" s="4" t="s">
        <v>52</v>
      </c>
      <c r="N11" s="763" t="s">
        <v>45</v>
      </c>
      <c r="O11" s="756" t="s">
        <v>53</v>
      </c>
      <c r="P11" s="756" t="s">
        <v>54</v>
      </c>
      <c r="Q11" s="708">
        <v>43845</v>
      </c>
      <c r="R11" s="757" t="s">
        <v>45</v>
      </c>
      <c r="S11" s="758" t="s">
        <v>54</v>
      </c>
      <c r="T11" s="758" t="s">
        <v>45</v>
      </c>
      <c r="U11" s="759" t="s">
        <v>54</v>
      </c>
      <c r="V11" s="741" t="str">
        <f t="shared" si="2"/>
        <v>In McMurdo</v>
      </c>
      <c r="W11" s="742" t="s">
        <v>55</v>
      </c>
      <c r="X11" s="759" t="str">
        <f t="shared" si="7"/>
        <v>in McMurdo</v>
      </c>
      <c r="Y11" s="316" t="s">
        <v>45</v>
      </c>
      <c r="Z11" s="316" t="s">
        <v>45</v>
      </c>
      <c r="AA11" s="316" t="s">
        <v>45</v>
      </c>
      <c r="AB11" s="316" t="s">
        <v>45</v>
      </c>
      <c r="AC11" s="316" t="s">
        <v>45</v>
      </c>
      <c r="AD11" s="58" t="s">
        <v>54</v>
      </c>
      <c r="AE11" s="754" t="str">
        <f t="shared" si="3"/>
        <v>FY23 intra</v>
      </c>
      <c r="AF11" s="363" t="str">
        <f t="shared" si="0"/>
        <v>FY23 SPOT 2</v>
      </c>
      <c r="AG11" s="320" t="s">
        <v>45</v>
      </c>
      <c r="AH11" s="320">
        <v>0.5</v>
      </c>
      <c r="AI11" s="320" t="s">
        <v>45</v>
      </c>
      <c r="AJ11" s="371" t="s">
        <v>45</v>
      </c>
      <c r="AK11" s="53">
        <v>44927</v>
      </c>
      <c r="AL11" s="53">
        <v>45261</v>
      </c>
      <c r="AM11" s="761">
        <f t="shared" si="8"/>
        <v>334</v>
      </c>
      <c r="AN11" s="761" t="str">
        <f t="shared" si="9"/>
        <v>-</v>
      </c>
      <c r="AO11" s="762" t="s">
        <v>56</v>
      </c>
      <c r="AP11" s="762" t="s">
        <v>57</v>
      </c>
      <c r="AQ11" s="702">
        <v>44475</v>
      </c>
      <c r="AR11" s="762" t="s">
        <v>58</v>
      </c>
      <c r="AS11" s="702">
        <v>44475</v>
      </c>
      <c r="AT11" s="316" t="s">
        <v>67</v>
      </c>
    </row>
    <row r="12" spans="1:46" ht="34" x14ac:dyDescent="0.2">
      <c r="A12" s="764">
        <v>1.2</v>
      </c>
      <c r="B12" s="38" t="s">
        <v>49</v>
      </c>
      <c r="C12" s="1" t="s">
        <v>68</v>
      </c>
      <c r="D12" s="765" t="s">
        <v>69</v>
      </c>
      <c r="E12" s="4">
        <v>108</v>
      </c>
      <c r="F12" s="4">
        <v>53</v>
      </c>
      <c r="G12" s="4">
        <v>60</v>
      </c>
      <c r="H12" s="20">
        <v>2</v>
      </c>
      <c r="I12" s="4">
        <f t="shared" si="4"/>
        <v>199</v>
      </c>
      <c r="J12" s="4">
        <f t="shared" si="5"/>
        <v>398</v>
      </c>
      <c r="K12" s="4">
        <v>330</v>
      </c>
      <c r="L12" s="4">
        <f t="shared" si="6"/>
        <v>660</v>
      </c>
      <c r="M12" s="4" t="s">
        <v>52</v>
      </c>
      <c r="N12" s="766" t="s">
        <v>45</v>
      </c>
      <c r="O12" s="756" t="s">
        <v>53</v>
      </c>
      <c r="P12" s="756" t="s">
        <v>54</v>
      </c>
      <c r="Q12" s="708">
        <v>43814</v>
      </c>
      <c r="R12" s="757" t="s">
        <v>45</v>
      </c>
      <c r="S12" s="758" t="s">
        <v>54</v>
      </c>
      <c r="T12" s="758" t="s">
        <v>45</v>
      </c>
      <c r="U12" s="742" t="s">
        <v>54</v>
      </c>
      <c r="V12" s="741" t="str">
        <f t="shared" si="2"/>
        <v>In McMurdo</v>
      </c>
      <c r="W12" s="742" t="s">
        <v>55</v>
      </c>
      <c r="X12" s="759" t="str">
        <f t="shared" si="7"/>
        <v>in McMurdo</v>
      </c>
      <c r="Y12" s="316" t="s">
        <v>45</v>
      </c>
      <c r="Z12" s="316" t="s">
        <v>45</v>
      </c>
      <c r="AA12" s="316" t="s">
        <v>45</v>
      </c>
      <c r="AB12" s="316" t="s">
        <v>45</v>
      </c>
      <c r="AC12" s="316" t="s">
        <v>45</v>
      </c>
      <c r="AD12" s="58" t="s">
        <v>54</v>
      </c>
      <c r="AE12" s="754" t="str">
        <f t="shared" si="3"/>
        <v>FY23 intra</v>
      </c>
      <c r="AF12" s="363" t="str">
        <f t="shared" si="0"/>
        <v>FY23 SPOT 1</v>
      </c>
      <c r="AG12" s="320">
        <v>0.25</v>
      </c>
      <c r="AH12" s="320" t="s">
        <v>45</v>
      </c>
      <c r="AI12" s="320" t="s">
        <v>45</v>
      </c>
      <c r="AJ12" s="371" t="s">
        <v>45</v>
      </c>
      <c r="AK12" s="53">
        <v>44896</v>
      </c>
      <c r="AL12" s="53">
        <v>45272</v>
      </c>
      <c r="AM12" s="761">
        <f t="shared" si="8"/>
        <v>376</v>
      </c>
      <c r="AN12" s="761" t="str">
        <f t="shared" si="9"/>
        <v>-</v>
      </c>
      <c r="AO12" s="762" t="s">
        <v>70</v>
      </c>
      <c r="AP12" s="762" t="s">
        <v>57</v>
      </c>
      <c r="AQ12" s="702">
        <v>44477</v>
      </c>
      <c r="AR12" s="762" t="s">
        <v>58</v>
      </c>
      <c r="AS12" s="702">
        <v>44477</v>
      </c>
      <c r="AT12" s="762" t="s">
        <v>71</v>
      </c>
    </row>
    <row r="13" spans="1:46" ht="34" x14ac:dyDescent="0.2">
      <c r="A13" s="636">
        <v>1.2</v>
      </c>
      <c r="B13" s="38" t="s">
        <v>49</v>
      </c>
      <c r="C13" s="3" t="s">
        <v>72</v>
      </c>
      <c r="D13" s="3" t="s">
        <v>73</v>
      </c>
      <c r="E13" s="20">
        <v>264</v>
      </c>
      <c r="F13" s="20">
        <v>94</v>
      </c>
      <c r="G13" s="20">
        <v>97</v>
      </c>
      <c r="H13" s="20">
        <v>1</v>
      </c>
      <c r="I13" s="4">
        <f t="shared" si="4"/>
        <v>1394</v>
      </c>
      <c r="J13" s="4">
        <f t="shared" si="5"/>
        <v>1394</v>
      </c>
      <c r="K13" s="4">
        <v>12000</v>
      </c>
      <c r="L13" s="4">
        <f t="shared" si="6"/>
        <v>12000</v>
      </c>
      <c r="M13" s="4" t="s">
        <v>52</v>
      </c>
      <c r="N13" s="763" t="s">
        <v>45</v>
      </c>
      <c r="O13" s="756" t="s">
        <v>53</v>
      </c>
      <c r="P13" s="756" t="s">
        <v>54</v>
      </c>
      <c r="Q13" s="708">
        <v>43845</v>
      </c>
      <c r="R13" s="757" t="s">
        <v>45</v>
      </c>
      <c r="S13" s="758" t="s">
        <v>54</v>
      </c>
      <c r="T13" s="758" t="s">
        <v>45</v>
      </c>
      <c r="U13" s="742" t="s">
        <v>54</v>
      </c>
      <c r="V13" s="741" t="str">
        <f t="shared" si="2"/>
        <v>In McMurdo</v>
      </c>
      <c r="W13" s="742" t="s">
        <v>55</v>
      </c>
      <c r="X13" s="759" t="str">
        <f t="shared" si="7"/>
        <v>in McMurdo</v>
      </c>
      <c r="Y13" s="316" t="s">
        <v>45</v>
      </c>
      <c r="Z13" s="316" t="s">
        <v>45</v>
      </c>
      <c r="AA13" s="316" t="s">
        <v>45</v>
      </c>
      <c r="AB13" s="316" t="s">
        <v>45</v>
      </c>
      <c r="AC13" s="316" t="s">
        <v>45</v>
      </c>
      <c r="AD13" s="58" t="s">
        <v>54</v>
      </c>
      <c r="AE13" s="754" t="str">
        <f t="shared" si="3"/>
        <v>FY23 intra</v>
      </c>
      <c r="AF13" s="363" t="str">
        <f t="shared" si="0"/>
        <v>FY23 SPOT 2</v>
      </c>
      <c r="AG13" s="320" t="s">
        <v>45</v>
      </c>
      <c r="AH13" s="320">
        <v>0.5</v>
      </c>
      <c r="AI13" s="320" t="s">
        <v>45</v>
      </c>
      <c r="AJ13" s="371" t="s">
        <v>45</v>
      </c>
      <c r="AK13" s="53">
        <v>44927</v>
      </c>
      <c r="AL13" s="53">
        <v>45275</v>
      </c>
      <c r="AM13" s="761">
        <f t="shared" si="8"/>
        <v>348</v>
      </c>
      <c r="AN13" s="761" t="str">
        <f t="shared" si="9"/>
        <v>-</v>
      </c>
      <c r="AO13" s="762" t="s">
        <v>56</v>
      </c>
      <c r="AP13" s="762" t="s">
        <v>57</v>
      </c>
      <c r="AQ13" s="702">
        <v>44477</v>
      </c>
      <c r="AR13" s="762" t="s">
        <v>58</v>
      </c>
      <c r="AS13" s="702">
        <v>44477</v>
      </c>
      <c r="AT13" s="762" t="s">
        <v>74</v>
      </c>
    </row>
    <row r="14" spans="1:46" s="60" customFormat="1" ht="51" x14ac:dyDescent="0.2">
      <c r="A14" s="636">
        <v>1.2</v>
      </c>
      <c r="B14" s="38" t="s">
        <v>49</v>
      </c>
      <c r="C14" s="3" t="s">
        <v>75</v>
      </c>
      <c r="D14" s="3" t="s">
        <v>76</v>
      </c>
      <c r="E14" s="20">
        <v>120</v>
      </c>
      <c r="F14" s="20">
        <v>48</v>
      </c>
      <c r="G14" s="20">
        <v>48</v>
      </c>
      <c r="H14" s="20">
        <v>1</v>
      </c>
      <c r="I14" s="4">
        <f t="shared" si="4"/>
        <v>160</v>
      </c>
      <c r="J14" s="4">
        <f t="shared" si="5"/>
        <v>160</v>
      </c>
      <c r="K14" s="4">
        <v>600</v>
      </c>
      <c r="L14" s="4">
        <f t="shared" si="6"/>
        <v>600</v>
      </c>
      <c r="M14" s="4" t="s">
        <v>52</v>
      </c>
      <c r="N14" s="763" t="s">
        <v>45</v>
      </c>
      <c r="O14" s="756" t="s">
        <v>53</v>
      </c>
      <c r="P14" s="756" t="s">
        <v>54</v>
      </c>
      <c r="Q14" s="708">
        <v>43845</v>
      </c>
      <c r="R14" s="757" t="s">
        <v>45</v>
      </c>
      <c r="S14" s="758" t="s">
        <v>54</v>
      </c>
      <c r="T14" s="758" t="s">
        <v>45</v>
      </c>
      <c r="U14" s="742" t="s">
        <v>54</v>
      </c>
      <c r="V14" s="741" t="str">
        <f t="shared" si="2"/>
        <v>In McMurdo</v>
      </c>
      <c r="W14" s="742" t="s">
        <v>55</v>
      </c>
      <c r="X14" s="759" t="str">
        <f t="shared" si="7"/>
        <v>in McMurdo</v>
      </c>
      <c r="Y14" s="316" t="s">
        <v>45</v>
      </c>
      <c r="Z14" s="316" t="s">
        <v>45</v>
      </c>
      <c r="AA14" s="316" t="s">
        <v>45</v>
      </c>
      <c r="AB14" s="316" t="s">
        <v>45</v>
      </c>
      <c r="AC14" s="316" t="s">
        <v>45</v>
      </c>
      <c r="AD14" s="58" t="s">
        <v>54</v>
      </c>
      <c r="AE14" s="754" t="str">
        <f t="shared" si="3"/>
        <v>FY23 intra</v>
      </c>
      <c r="AF14" s="363" t="str">
        <f t="shared" si="0"/>
        <v>FY23 SPOT 1</v>
      </c>
      <c r="AG14" s="320">
        <v>0.25</v>
      </c>
      <c r="AH14" s="320" t="s">
        <v>45</v>
      </c>
      <c r="AI14" s="320" t="s">
        <v>45</v>
      </c>
      <c r="AJ14" s="371" t="s">
        <v>45</v>
      </c>
      <c r="AK14" s="53">
        <v>44896</v>
      </c>
      <c r="AL14" s="53">
        <v>45992</v>
      </c>
      <c r="AM14" s="761">
        <f>AL14-AK14</f>
        <v>1096</v>
      </c>
      <c r="AN14" s="761" t="str">
        <f t="shared" si="9"/>
        <v>-</v>
      </c>
      <c r="AO14" s="762" t="s">
        <v>70</v>
      </c>
      <c r="AP14" s="762" t="s">
        <v>57</v>
      </c>
      <c r="AQ14" s="702">
        <v>44477</v>
      </c>
      <c r="AR14" s="762" t="s">
        <v>58</v>
      </c>
      <c r="AS14" s="702">
        <v>44477</v>
      </c>
      <c r="AT14" s="762" t="s">
        <v>77</v>
      </c>
    </row>
    <row r="15" spans="1:46" ht="34" x14ac:dyDescent="0.2">
      <c r="A15" s="636">
        <v>1.2</v>
      </c>
      <c r="B15" s="38" t="s">
        <v>49</v>
      </c>
      <c r="C15" s="3" t="s">
        <v>78</v>
      </c>
      <c r="D15" s="3" t="s">
        <v>73</v>
      </c>
      <c r="E15" s="20">
        <v>96</v>
      </c>
      <c r="F15" s="20">
        <v>72</v>
      </c>
      <c r="G15" s="20">
        <v>120</v>
      </c>
      <c r="H15" s="20">
        <v>1</v>
      </c>
      <c r="I15" s="4">
        <f t="shared" si="4"/>
        <v>480</v>
      </c>
      <c r="J15" s="4">
        <f t="shared" si="5"/>
        <v>480</v>
      </c>
      <c r="K15" s="4">
        <v>1500</v>
      </c>
      <c r="L15" s="4">
        <f t="shared" si="6"/>
        <v>1500</v>
      </c>
      <c r="M15" s="4" t="s">
        <v>52</v>
      </c>
      <c r="N15" s="763" t="s">
        <v>45</v>
      </c>
      <c r="O15" s="756" t="s">
        <v>53</v>
      </c>
      <c r="P15" s="756" t="s">
        <v>54</v>
      </c>
      <c r="Q15" s="708">
        <v>43845</v>
      </c>
      <c r="R15" s="757" t="s">
        <v>45</v>
      </c>
      <c r="S15" s="758" t="s">
        <v>54</v>
      </c>
      <c r="T15" s="758" t="s">
        <v>45</v>
      </c>
      <c r="U15" s="742" t="s">
        <v>54</v>
      </c>
      <c r="V15" s="741" t="str">
        <f t="shared" si="2"/>
        <v>In McMurdo</v>
      </c>
      <c r="W15" s="742" t="s">
        <v>55</v>
      </c>
      <c r="X15" s="759" t="str">
        <f t="shared" si="7"/>
        <v>in McMurdo</v>
      </c>
      <c r="Y15" s="316" t="s">
        <v>45</v>
      </c>
      <c r="Z15" s="316" t="s">
        <v>45</v>
      </c>
      <c r="AA15" s="316" t="s">
        <v>45</v>
      </c>
      <c r="AB15" s="316" t="s">
        <v>45</v>
      </c>
      <c r="AC15" s="316" t="s">
        <v>45</v>
      </c>
      <c r="AD15" s="58" t="s">
        <v>54</v>
      </c>
      <c r="AE15" s="754" t="str">
        <f t="shared" si="3"/>
        <v>FY23 intra</v>
      </c>
      <c r="AF15" s="363" t="str">
        <f t="shared" si="0"/>
        <v>FY23 SPOT 1</v>
      </c>
      <c r="AG15" s="320">
        <v>0.25</v>
      </c>
      <c r="AH15" s="320" t="s">
        <v>45</v>
      </c>
      <c r="AI15" s="320" t="s">
        <v>45</v>
      </c>
      <c r="AJ15" s="371" t="s">
        <v>45</v>
      </c>
      <c r="AK15" s="53">
        <v>44896</v>
      </c>
      <c r="AL15" s="53">
        <v>45265</v>
      </c>
      <c r="AM15" s="761">
        <f t="shared" si="8"/>
        <v>369</v>
      </c>
      <c r="AN15" s="761" t="str">
        <f t="shared" si="9"/>
        <v>-</v>
      </c>
      <c r="AO15" s="762" t="s">
        <v>56</v>
      </c>
      <c r="AP15" s="762" t="s">
        <v>57</v>
      </c>
      <c r="AQ15" s="702">
        <v>44477</v>
      </c>
      <c r="AR15" s="762" t="s">
        <v>58</v>
      </c>
      <c r="AS15" s="702">
        <v>44477</v>
      </c>
      <c r="AT15" s="762" t="s">
        <v>79</v>
      </c>
    </row>
    <row r="16" spans="1:46" ht="51" x14ac:dyDescent="0.2">
      <c r="A16" s="636">
        <v>1.2</v>
      </c>
      <c r="B16" s="38" t="s">
        <v>49</v>
      </c>
      <c r="C16" s="3" t="s">
        <v>80</v>
      </c>
      <c r="D16" s="3" t="s">
        <v>81</v>
      </c>
      <c r="E16" s="20">
        <v>480</v>
      </c>
      <c r="F16" s="20">
        <v>96</v>
      </c>
      <c r="G16" s="20">
        <v>102</v>
      </c>
      <c r="H16" s="20">
        <v>1</v>
      </c>
      <c r="I16" s="4">
        <f t="shared" si="4"/>
        <v>2720</v>
      </c>
      <c r="J16" s="4">
        <f t="shared" si="5"/>
        <v>2720</v>
      </c>
      <c r="K16" s="4">
        <v>28000</v>
      </c>
      <c r="L16" s="4">
        <f t="shared" si="6"/>
        <v>28000</v>
      </c>
      <c r="M16" s="4" t="s">
        <v>52</v>
      </c>
      <c r="N16" s="763" t="s">
        <v>45</v>
      </c>
      <c r="O16" s="756" t="s">
        <v>53</v>
      </c>
      <c r="P16" s="756" t="s">
        <v>54</v>
      </c>
      <c r="Q16" s="708">
        <v>43845</v>
      </c>
      <c r="R16" s="757" t="s">
        <v>45</v>
      </c>
      <c r="S16" s="758" t="s">
        <v>54</v>
      </c>
      <c r="T16" s="758" t="s">
        <v>45</v>
      </c>
      <c r="U16" s="742" t="s">
        <v>54</v>
      </c>
      <c r="V16" s="741" t="str">
        <f t="shared" si="2"/>
        <v>In McMurdo</v>
      </c>
      <c r="W16" s="742" t="s">
        <v>55</v>
      </c>
      <c r="X16" s="759" t="str">
        <f t="shared" si="7"/>
        <v>in McMurdo</v>
      </c>
      <c r="Y16" s="316" t="s">
        <v>45</v>
      </c>
      <c r="Z16" s="316" t="s">
        <v>45</v>
      </c>
      <c r="AA16" s="316" t="s">
        <v>45</v>
      </c>
      <c r="AB16" s="316" t="s">
        <v>45</v>
      </c>
      <c r="AC16" s="316" t="s">
        <v>45</v>
      </c>
      <c r="AD16" s="58" t="s">
        <v>54</v>
      </c>
      <c r="AE16" s="754" t="str">
        <f t="shared" si="3"/>
        <v>FY23 intra</v>
      </c>
      <c r="AF16" s="363" t="str">
        <f t="shared" si="0"/>
        <v>FY23 SPOT 3</v>
      </c>
      <c r="AG16" s="320" t="s">
        <v>45</v>
      </c>
      <c r="AH16" s="320" t="s">
        <v>45</v>
      </c>
      <c r="AI16" s="320">
        <v>1</v>
      </c>
      <c r="AJ16" s="371" t="s">
        <v>45</v>
      </c>
      <c r="AK16" s="53">
        <v>44958</v>
      </c>
      <c r="AL16" s="53">
        <v>45308</v>
      </c>
      <c r="AM16" s="761">
        <f t="shared" si="8"/>
        <v>350</v>
      </c>
      <c r="AN16" s="761" t="str">
        <f t="shared" si="9"/>
        <v>-</v>
      </c>
      <c r="AO16" s="762" t="s">
        <v>56</v>
      </c>
      <c r="AP16" s="762" t="s">
        <v>57</v>
      </c>
      <c r="AQ16" s="702">
        <v>44477</v>
      </c>
      <c r="AR16" s="762" t="s">
        <v>58</v>
      </c>
      <c r="AS16" s="702">
        <v>44477</v>
      </c>
      <c r="AT16" s="762" t="s">
        <v>82</v>
      </c>
    </row>
    <row r="17" spans="1:46" ht="68" x14ac:dyDescent="0.2">
      <c r="A17" s="637">
        <v>1.2</v>
      </c>
      <c r="B17" s="38" t="s">
        <v>49</v>
      </c>
      <c r="C17" s="11" t="s">
        <v>83</v>
      </c>
      <c r="D17" s="14" t="s">
        <v>84</v>
      </c>
      <c r="E17" s="19">
        <v>96</v>
      </c>
      <c r="F17" s="19">
        <v>86</v>
      </c>
      <c r="G17" s="19">
        <v>96</v>
      </c>
      <c r="H17" s="19">
        <v>1</v>
      </c>
      <c r="I17" s="4">
        <f t="shared" si="4"/>
        <v>459</v>
      </c>
      <c r="J17" s="4">
        <f t="shared" si="5"/>
        <v>459</v>
      </c>
      <c r="K17" s="19">
        <v>5000</v>
      </c>
      <c r="L17" s="4">
        <f>IF(ISERROR(SEARCH("totals", C17)),H17*K17, "")</f>
        <v>5000</v>
      </c>
      <c r="M17" s="767" t="s">
        <v>52</v>
      </c>
      <c r="N17" s="767" t="s">
        <v>45</v>
      </c>
      <c r="O17" s="760" t="s">
        <v>53</v>
      </c>
      <c r="P17" s="756" t="s">
        <v>54</v>
      </c>
      <c r="Q17" s="58">
        <v>44503</v>
      </c>
      <c r="R17" s="841">
        <v>44516</v>
      </c>
      <c r="S17" s="758" t="s">
        <v>54</v>
      </c>
      <c r="T17" s="758" t="s">
        <v>85</v>
      </c>
      <c r="U17" s="742" t="s">
        <v>54</v>
      </c>
      <c r="V17" s="741" t="str">
        <f t="shared" si="2"/>
        <v>In McMurdo</v>
      </c>
      <c r="W17" s="742" t="s">
        <v>55</v>
      </c>
      <c r="X17" s="759" t="str">
        <f t="shared" si="7"/>
        <v>in McMurdo</v>
      </c>
      <c r="Y17" s="316" t="s">
        <v>45</v>
      </c>
      <c r="Z17" s="316" t="s">
        <v>45</v>
      </c>
      <c r="AA17" s="316" t="s">
        <v>45</v>
      </c>
      <c r="AB17" s="316" t="s">
        <v>45</v>
      </c>
      <c r="AC17" s="316" t="s">
        <v>45</v>
      </c>
      <c r="AD17" s="58" t="s">
        <v>54</v>
      </c>
      <c r="AE17" s="754" t="str">
        <f t="shared" si="3"/>
        <v>FY23 intra</v>
      </c>
      <c r="AF17" s="363" t="str">
        <f t="shared" si="0"/>
        <v>FY23 SPOT 1</v>
      </c>
      <c r="AG17" s="320">
        <v>0.25</v>
      </c>
      <c r="AH17" s="320" t="s">
        <v>45</v>
      </c>
      <c r="AI17" s="320" t="s">
        <v>45</v>
      </c>
      <c r="AJ17" s="371" t="s">
        <v>45</v>
      </c>
      <c r="AK17" s="53">
        <v>44896</v>
      </c>
      <c r="AL17" s="53">
        <v>45244</v>
      </c>
      <c r="AM17" s="761">
        <f t="shared" si="8"/>
        <v>348</v>
      </c>
      <c r="AN17" s="761">
        <f t="shared" si="9"/>
        <v>728</v>
      </c>
      <c r="AO17" s="762" t="s">
        <v>56</v>
      </c>
      <c r="AP17" s="762" t="s">
        <v>57</v>
      </c>
      <c r="AQ17" s="702">
        <v>44477</v>
      </c>
      <c r="AR17" s="762" t="s">
        <v>58</v>
      </c>
      <c r="AS17" s="702">
        <v>44477</v>
      </c>
      <c r="AT17" s="762" t="s">
        <v>86</v>
      </c>
    </row>
    <row r="18" spans="1:46" ht="68" x14ac:dyDescent="0.2">
      <c r="A18" s="637">
        <v>1.2</v>
      </c>
      <c r="B18" s="38" t="s">
        <v>49</v>
      </c>
      <c r="C18" s="11" t="s">
        <v>87</v>
      </c>
      <c r="D18" s="14" t="s">
        <v>88</v>
      </c>
      <c r="E18" s="19">
        <v>240</v>
      </c>
      <c r="F18" s="19">
        <v>96</v>
      </c>
      <c r="G18" s="19">
        <v>102</v>
      </c>
      <c r="H18" s="19">
        <v>1</v>
      </c>
      <c r="I18" s="4">
        <f t="shared" si="4"/>
        <v>1360</v>
      </c>
      <c r="J18" s="4">
        <f t="shared" si="5"/>
        <v>1360</v>
      </c>
      <c r="K18" s="19">
        <v>17320</v>
      </c>
      <c r="L18" s="4">
        <f>IF(ISERROR(SEARCH("totals", C18)),H18*K18, "")</f>
        <v>17320</v>
      </c>
      <c r="M18" s="767" t="s">
        <v>52</v>
      </c>
      <c r="N18" s="763" t="s">
        <v>45</v>
      </c>
      <c r="O18" s="760" t="s">
        <v>53</v>
      </c>
      <c r="P18" s="756" t="s">
        <v>54</v>
      </c>
      <c r="Q18" s="58">
        <v>44513</v>
      </c>
      <c r="R18" s="841">
        <v>44516</v>
      </c>
      <c r="S18" s="758" t="s">
        <v>54</v>
      </c>
      <c r="T18" s="758" t="s">
        <v>85</v>
      </c>
      <c r="U18" s="742" t="s">
        <v>54</v>
      </c>
      <c r="V18" s="741" t="str">
        <f t="shared" si="2"/>
        <v>In McMurdo</v>
      </c>
      <c r="W18" s="742" t="s">
        <v>55</v>
      </c>
      <c r="X18" s="759" t="str">
        <f t="shared" si="7"/>
        <v>in McMurdo</v>
      </c>
      <c r="Y18" s="316" t="s">
        <v>45</v>
      </c>
      <c r="Z18" s="316" t="s">
        <v>45</v>
      </c>
      <c r="AA18" s="316" t="s">
        <v>45</v>
      </c>
      <c r="AB18" s="316" t="s">
        <v>45</v>
      </c>
      <c r="AC18" s="316" t="s">
        <v>45</v>
      </c>
      <c r="AD18" s="58" t="s">
        <v>54</v>
      </c>
      <c r="AE18" s="754" t="str">
        <f t="shared" si="3"/>
        <v>FY23 intra</v>
      </c>
      <c r="AF18" s="363" t="str">
        <f t="shared" si="0"/>
        <v>FY23 SPOT 2</v>
      </c>
      <c r="AG18" s="320" t="s">
        <v>45</v>
      </c>
      <c r="AH18" s="320">
        <v>0.5</v>
      </c>
      <c r="AI18" s="320" t="s">
        <v>45</v>
      </c>
      <c r="AJ18" s="371" t="s">
        <v>45</v>
      </c>
      <c r="AK18" s="53">
        <v>44927</v>
      </c>
      <c r="AL18" s="53">
        <v>45244</v>
      </c>
      <c r="AM18" s="761">
        <f t="shared" si="8"/>
        <v>317</v>
      </c>
      <c r="AN18" s="761">
        <f t="shared" si="9"/>
        <v>728</v>
      </c>
      <c r="AO18" s="762" t="s">
        <v>56</v>
      </c>
      <c r="AP18" s="762" t="s">
        <v>57</v>
      </c>
      <c r="AQ18" s="702">
        <v>44477</v>
      </c>
      <c r="AR18" s="762" t="s">
        <v>58</v>
      </c>
      <c r="AS18" s="702">
        <v>44477</v>
      </c>
      <c r="AT18" s="762" t="s">
        <v>89</v>
      </c>
    </row>
    <row r="19" spans="1:46" ht="102" x14ac:dyDescent="0.2">
      <c r="A19" s="637">
        <v>1.2</v>
      </c>
      <c r="B19" s="38" t="s">
        <v>49</v>
      </c>
      <c r="C19" s="11" t="s">
        <v>90</v>
      </c>
      <c r="D19" s="14" t="s">
        <v>91</v>
      </c>
      <c r="E19" s="19">
        <v>240</v>
      </c>
      <c r="F19" s="19">
        <v>96</v>
      </c>
      <c r="G19" s="19">
        <v>102</v>
      </c>
      <c r="H19" s="19">
        <v>1</v>
      </c>
      <c r="I19" s="4">
        <f t="shared" si="4"/>
        <v>1360</v>
      </c>
      <c r="J19" s="4">
        <f t="shared" si="5"/>
        <v>1360</v>
      </c>
      <c r="K19" s="19">
        <v>14280</v>
      </c>
      <c r="L19" s="4">
        <f>IF(ISERROR(SEARCH("totals", C19)),H19*K19, "")</f>
        <v>14280</v>
      </c>
      <c r="M19" s="19" t="s">
        <v>52</v>
      </c>
      <c r="N19" s="767" t="s">
        <v>45</v>
      </c>
      <c r="O19" s="760" t="s">
        <v>53</v>
      </c>
      <c r="P19" s="756" t="s">
        <v>54</v>
      </c>
      <c r="Q19" s="58">
        <v>44502</v>
      </c>
      <c r="R19" s="841">
        <v>44502</v>
      </c>
      <c r="S19" s="758" t="s">
        <v>54</v>
      </c>
      <c r="T19" s="758" t="s">
        <v>92</v>
      </c>
      <c r="U19" s="742" t="s">
        <v>54</v>
      </c>
      <c r="V19" s="741" t="str">
        <f t="shared" si="2"/>
        <v>In McMurdo</v>
      </c>
      <c r="W19" s="742" t="s">
        <v>55</v>
      </c>
      <c r="X19" s="759" t="str">
        <f t="shared" si="7"/>
        <v>in McMurdo</v>
      </c>
      <c r="Y19" s="316" t="s">
        <v>45</v>
      </c>
      <c r="Z19" s="316" t="s">
        <v>45</v>
      </c>
      <c r="AA19" s="316" t="s">
        <v>45</v>
      </c>
      <c r="AB19" s="316" t="s">
        <v>45</v>
      </c>
      <c r="AC19" s="316" t="s">
        <v>45</v>
      </c>
      <c r="AD19" s="58" t="s">
        <v>54</v>
      </c>
      <c r="AE19" s="754" t="str">
        <f t="shared" si="3"/>
        <v>FY23 intra</v>
      </c>
      <c r="AF19" s="363" t="str">
        <f t="shared" si="0"/>
        <v>FY23 SPOT 2</v>
      </c>
      <c r="AG19" s="320" t="s">
        <v>45</v>
      </c>
      <c r="AH19" s="320">
        <v>0.5</v>
      </c>
      <c r="AI19" s="320" t="s">
        <v>45</v>
      </c>
      <c r="AJ19" s="371" t="s">
        <v>45</v>
      </c>
      <c r="AK19" s="53">
        <v>44927</v>
      </c>
      <c r="AL19" s="53">
        <v>45275</v>
      </c>
      <c r="AM19" s="761">
        <f>AL19-AK19</f>
        <v>348</v>
      </c>
      <c r="AN19" s="761">
        <f t="shared" si="9"/>
        <v>773</v>
      </c>
      <c r="AO19" s="762" t="s">
        <v>56</v>
      </c>
      <c r="AP19" s="762" t="s">
        <v>57</v>
      </c>
      <c r="AQ19" s="702">
        <v>44477</v>
      </c>
      <c r="AR19" s="762" t="s">
        <v>58</v>
      </c>
      <c r="AS19" s="702">
        <v>44477</v>
      </c>
      <c r="AT19" s="762" t="s">
        <v>93</v>
      </c>
    </row>
    <row r="20" spans="1:46" ht="51" x14ac:dyDescent="0.2">
      <c r="A20" s="637">
        <v>1.2</v>
      </c>
      <c r="B20" s="38" t="s">
        <v>49</v>
      </c>
      <c r="C20" s="11" t="s">
        <v>94</v>
      </c>
      <c r="D20" s="1" t="s">
        <v>95</v>
      </c>
      <c r="E20" s="767">
        <v>192</v>
      </c>
      <c r="F20" s="767">
        <v>96</v>
      </c>
      <c r="G20" s="767">
        <v>88</v>
      </c>
      <c r="H20" s="19">
        <v>1</v>
      </c>
      <c r="I20" s="4">
        <f t="shared" si="4"/>
        <v>939</v>
      </c>
      <c r="J20" s="4">
        <f t="shared" si="5"/>
        <v>939</v>
      </c>
      <c r="K20" s="19">
        <v>5400</v>
      </c>
      <c r="L20" s="4">
        <f>IF(ISERROR(SEARCH("totals", C20)),H20*K20, "")</f>
        <v>5400</v>
      </c>
      <c r="M20" s="19" t="s">
        <v>52</v>
      </c>
      <c r="N20" s="19" t="s">
        <v>96</v>
      </c>
      <c r="O20" s="21" t="s">
        <v>53</v>
      </c>
      <c r="P20" s="756" t="s">
        <v>54</v>
      </c>
      <c r="Q20" s="58">
        <v>44502</v>
      </c>
      <c r="R20" s="841">
        <v>44502</v>
      </c>
      <c r="S20" s="758" t="s">
        <v>54</v>
      </c>
      <c r="T20" s="758" t="s">
        <v>85</v>
      </c>
      <c r="U20" s="742" t="s">
        <v>54</v>
      </c>
      <c r="V20" s="741" t="str">
        <f t="shared" si="2"/>
        <v>In McMurdo</v>
      </c>
      <c r="W20" s="742" t="s">
        <v>55</v>
      </c>
      <c r="X20" s="759" t="str">
        <f t="shared" si="7"/>
        <v>in McMurdo</v>
      </c>
      <c r="Y20" s="316" t="s">
        <v>45</v>
      </c>
      <c r="Z20" s="316" t="s">
        <v>45</v>
      </c>
      <c r="AA20" s="316" t="s">
        <v>45</v>
      </c>
      <c r="AB20" s="316" t="s">
        <v>45</v>
      </c>
      <c r="AC20" s="316" t="s">
        <v>45</v>
      </c>
      <c r="AD20" s="58" t="s">
        <v>54</v>
      </c>
      <c r="AE20" s="754" t="str">
        <f t="shared" si="3"/>
        <v>FY23 intra</v>
      </c>
      <c r="AF20" s="363" t="str">
        <f t="shared" si="0"/>
        <v>FY23 SPOT 1</v>
      </c>
      <c r="AG20" s="320">
        <v>0.5</v>
      </c>
      <c r="AH20" s="320" t="s">
        <v>45</v>
      </c>
      <c r="AI20" s="320" t="s">
        <v>45</v>
      </c>
      <c r="AJ20" s="371" t="s">
        <v>45</v>
      </c>
      <c r="AK20" s="614">
        <v>44896</v>
      </c>
      <c r="AL20" s="53">
        <v>45267</v>
      </c>
      <c r="AM20" s="761">
        <f t="shared" si="8"/>
        <v>371</v>
      </c>
      <c r="AN20" s="761">
        <f t="shared" si="9"/>
        <v>765</v>
      </c>
      <c r="AO20" s="762" t="s">
        <v>97</v>
      </c>
      <c r="AP20" s="762" t="s">
        <v>57</v>
      </c>
      <c r="AQ20" s="702">
        <v>44477</v>
      </c>
      <c r="AR20" s="762" t="s">
        <v>58</v>
      </c>
      <c r="AS20" s="702">
        <v>44477</v>
      </c>
      <c r="AT20" s="762" t="s">
        <v>98</v>
      </c>
    </row>
    <row r="21" spans="1:46" ht="51" x14ac:dyDescent="0.2">
      <c r="A21" s="637">
        <v>1.2</v>
      </c>
      <c r="B21" s="38" t="s">
        <v>49</v>
      </c>
      <c r="C21" s="11" t="s">
        <v>99</v>
      </c>
      <c r="D21" s="14" t="s">
        <v>100</v>
      </c>
      <c r="E21" s="767">
        <v>112</v>
      </c>
      <c r="F21" s="767">
        <v>80</v>
      </c>
      <c r="G21" s="767">
        <v>80</v>
      </c>
      <c r="H21" s="19">
        <v>1</v>
      </c>
      <c r="I21" s="4">
        <f t="shared" si="4"/>
        <v>415</v>
      </c>
      <c r="J21" s="4">
        <f t="shared" si="5"/>
        <v>415</v>
      </c>
      <c r="K21" s="19">
        <v>4000</v>
      </c>
      <c r="L21" s="4">
        <f>IF(ISERROR(SEARCH("totals", C21)),H21*K21, "")</f>
        <v>4000</v>
      </c>
      <c r="M21" s="767" t="s">
        <v>52</v>
      </c>
      <c r="N21" s="763" t="s">
        <v>45</v>
      </c>
      <c r="O21" s="760" t="s">
        <v>53</v>
      </c>
      <c r="P21" s="756" t="s">
        <v>54</v>
      </c>
      <c r="Q21" s="58">
        <v>44495</v>
      </c>
      <c r="R21" s="841">
        <v>44502</v>
      </c>
      <c r="S21" s="758" t="s">
        <v>54</v>
      </c>
      <c r="T21" s="758" t="s">
        <v>85</v>
      </c>
      <c r="U21" s="742" t="s">
        <v>54</v>
      </c>
      <c r="V21" s="741" t="str">
        <f t="shared" si="2"/>
        <v>In McMurdo</v>
      </c>
      <c r="W21" s="742" t="s">
        <v>55</v>
      </c>
      <c r="X21" s="759" t="str">
        <f t="shared" si="7"/>
        <v>in McMurdo</v>
      </c>
      <c r="Y21" s="316" t="s">
        <v>45</v>
      </c>
      <c r="Z21" s="316" t="s">
        <v>45</v>
      </c>
      <c r="AA21" s="316" t="s">
        <v>45</v>
      </c>
      <c r="AB21" s="316" t="s">
        <v>45</v>
      </c>
      <c r="AC21" s="316" t="s">
        <v>45</v>
      </c>
      <c r="AD21" s="58" t="s">
        <v>54</v>
      </c>
      <c r="AE21" s="754" t="str">
        <f t="shared" si="3"/>
        <v>FY23 intra</v>
      </c>
      <c r="AF21" s="363" t="str">
        <f t="shared" si="0"/>
        <v>FY23 SPOT 2</v>
      </c>
      <c r="AG21" s="320" t="s">
        <v>45</v>
      </c>
      <c r="AH21" s="320">
        <v>0.25</v>
      </c>
      <c r="AI21" s="320" t="s">
        <v>45</v>
      </c>
      <c r="AJ21" s="371" t="s">
        <v>45</v>
      </c>
      <c r="AK21" s="53">
        <v>44927</v>
      </c>
      <c r="AL21" s="53">
        <v>45294</v>
      </c>
      <c r="AM21" s="761">
        <f t="shared" si="8"/>
        <v>367</v>
      </c>
      <c r="AN21" s="761">
        <f t="shared" si="9"/>
        <v>792</v>
      </c>
      <c r="AO21" s="762" t="s">
        <v>56</v>
      </c>
      <c r="AP21" s="762" t="s">
        <v>57</v>
      </c>
      <c r="AQ21" s="702">
        <v>44477</v>
      </c>
      <c r="AR21" s="762" t="s">
        <v>58</v>
      </c>
      <c r="AS21" s="702">
        <v>44477</v>
      </c>
      <c r="AT21" s="762" t="s">
        <v>101</v>
      </c>
    </row>
    <row r="22" spans="1:46" ht="51" x14ac:dyDescent="0.2">
      <c r="A22" s="637">
        <v>1.2</v>
      </c>
      <c r="B22" s="38" t="s">
        <v>49</v>
      </c>
      <c r="C22" s="11" t="s">
        <v>102</v>
      </c>
      <c r="D22" s="14" t="s">
        <v>103</v>
      </c>
      <c r="E22" s="767">
        <v>140</v>
      </c>
      <c r="F22" s="767">
        <v>96</v>
      </c>
      <c r="G22" s="767">
        <v>95</v>
      </c>
      <c r="H22" s="19">
        <v>1</v>
      </c>
      <c r="I22" s="4">
        <f t="shared" si="4"/>
        <v>739</v>
      </c>
      <c r="J22" s="4">
        <f t="shared" si="5"/>
        <v>739</v>
      </c>
      <c r="K22" s="19">
        <v>17800</v>
      </c>
      <c r="L22" s="4">
        <f t="shared" ref="L22" si="10">IF(ISERROR(SEARCH("totals", C22)),H22*K22, "")</f>
        <v>17800</v>
      </c>
      <c r="M22" s="767" t="s">
        <v>52</v>
      </c>
      <c r="N22" s="767" t="s">
        <v>45</v>
      </c>
      <c r="O22" s="760" t="s">
        <v>53</v>
      </c>
      <c r="P22" s="756" t="s">
        <v>54</v>
      </c>
      <c r="Q22" s="58">
        <v>44508</v>
      </c>
      <c r="R22" s="841">
        <v>44516</v>
      </c>
      <c r="S22" s="758" t="s">
        <v>54</v>
      </c>
      <c r="T22" s="758" t="s">
        <v>85</v>
      </c>
      <c r="U22" s="742" t="s">
        <v>54</v>
      </c>
      <c r="V22" s="741" t="str">
        <f t="shared" si="2"/>
        <v>In McMurdo</v>
      </c>
      <c r="W22" s="742" t="s">
        <v>55</v>
      </c>
      <c r="X22" s="759" t="str">
        <f t="shared" si="7"/>
        <v>in McMurdo</v>
      </c>
      <c r="Y22" s="316" t="s">
        <v>45</v>
      </c>
      <c r="Z22" s="316" t="s">
        <v>45</v>
      </c>
      <c r="AA22" s="316" t="s">
        <v>45</v>
      </c>
      <c r="AB22" s="316" t="s">
        <v>45</v>
      </c>
      <c r="AC22" s="316" t="s">
        <v>45</v>
      </c>
      <c r="AD22" s="58" t="s">
        <v>54</v>
      </c>
      <c r="AE22" s="754" t="str">
        <f t="shared" si="3"/>
        <v>FY23 intra</v>
      </c>
      <c r="AF22" s="363" t="str">
        <f t="shared" si="0"/>
        <v>FY23 SPOT 2</v>
      </c>
      <c r="AG22" s="320" t="s">
        <v>45</v>
      </c>
      <c r="AH22" s="320">
        <v>0.25</v>
      </c>
      <c r="AI22" s="320" t="s">
        <v>45</v>
      </c>
      <c r="AJ22" s="371" t="s">
        <v>45</v>
      </c>
      <c r="AK22" s="53">
        <v>44927</v>
      </c>
      <c r="AL22" s="53">
        <v>45294</v>
      </c>
      <c r="AM22" s="761">
        <f>AL22-AK22</f>
        <v>367</v>
      </c>
      <c r="AN22" s="761">
        <f t="shared" si="9"/>
        <v>778</v>
      </c>
      <c r="AO22" s="762" t="s">
        <v>56</v>
      </c>
      <c r="AP22" s="762" t="s">
        <v>57</v>
      </c>
      <c r="AQ22" s="702">
        <v>44477</v>
      </c>
      <c r="AR22" s="762" t="s">
        <v>58</v>
      </c>
      <c r="AS22" s="702">
        <v>44477</v>
      </c>
      <c r="AT22" s="762" t="s">
        <v>104</v>
      </c>
    </row>
    <row r="23" spans="1:46" ht="68" x14ac:dyDescent="0.2">
      <c r="A23" s="637">
        <v>1.2</v>
      </c>
      <c r="B23" s="38" t="s">
        <v>49</v>
      </c>
      <c r="C23" s="11" t="s">
        <v>105</v>
      </c>
      <c r="D23" s="14" t="s">
        <v>106</v>
      </c>
      <c r="E23" s="19">
        <v>240</v>
      </c>
      <c r="F23" s="19">
        <v>96</v>
      </c>
      <c r="G23" s="19">
        <v>96</v>
      </c>
      <c r="H23" s="19">
        <v>1</v>
      </c>
      <c r="I23" s="4">
        <f t="shared" si="4"/>
        <v>1280</v>
      </c>
      <c r="J23" s="4">
        <f t="shared" si="5"/>
        <v>1280</v>
      </c>
      <c r="K23" s="19">
        <v>4255</v>
      </c>
      <c r="L23" s="4">
        <f>IF(ISERROR(SEARCH("totals", C23)),H23*K23, "")</f>
        <v>4255</v>
      </c>
      <c r="M23" s="19" t="s">
        <v>52</v>
      </c>
      <c r="N23" s="763" t="s">
        <v>45</v>
      </c>
      <c r="O23" s="21" t="s">
        <v>53</v>
      </c>
      <c r="P23" s="756" t="s">
        <v>54</v>
      </c>
      <c r="Q23" s="58">
        <v>44193</v>
      </c>
      <c r="R23" s="63">
        <v>44211</v>
      </c>
      <c r="S23" s="758" t="s">
        <v>54</v>
      </c>
      <c r="T23" s="758" t="s">
        <v>92</v>
      </c>
      <c r="U23" s="742" t="s">
        <v>54</v>
      </c>
      <c r="V23" s="741" t="str">
        <f t="shared" si="2"/>
        <v>In McMurdo</v>
      </c>
      <c r="W23" s="742" t="s">
        <v>55</v>
      </c>
      <c r="X23" s="759" t="str">
        <f t="shared" si="7"/>
        <v>in McMurdo</v>
      </c>
      <c r="Y23" s="316" t="s">
        <v>45</v>
      </c>
      <c r="Z23" s="316" t="s">
        <v>45</v>
      </c>
      <c r="AA23" s="316" t="s">
        <v>45</v>
      </c>
      <c r="AB23" s="316" t="s">
        <v>45</v>
      </c>
      <c r="AC23" s="316" t="s">
        <v>45</v>
      </c>
      <c r="AD23" s="58" t="s">
        <v>54</v>
      </c>
      <c r="AE23" s="754" t="str">
        <f t="shared" si="3"/>
        <v>FY23 intra</v>
      </c>
      <c r="AF23" s="363" t="str">
        <f t="shared" si="0"/>
        <v>FY23 SPOT 1</v>
      </c>
      <c r="AG23" s="320">
        <v>0.5</v>
      </c>
      <c r="AH23" s="320" t="s">
        <v>45</v>
      </c>
      <c r="AI23" s="320" t="s">
        <v>45</v>
      </c>
      <c r="AJ23" s="371" t="s">
        <v>45</v>
      </c>
      <c r="AK23" s="614">
        <v>44896</v>
      </c>
      <c r="AL23" s="53">
        <v>44927</v>
      </c>
      <c r="AM23" s="761">
        <f t="shared" si="8"/>
        <v>31</v>
      </c>
      <c r="AN23" s="761">
        <f t="shared" si="9"/>
        <v>716</v>
      </c>
      <c r="AO23" s="762" t="s">
        <v>107</v>
      </c>
      <c r="AP23" s="762" t="s">
        <v>57</v>
      </c>
      <c r="AQ23" s="702">
        <v>44477</v>
      </c>
      <c r="AR23" s="762" t="s">
        <v>58</v>
      </c>
      <c r="AS23" s="702">
        <v>44477</v>
      </c>
      <c r="AT23" s="762" t="s">
        <v>108</v>
      </c>
    </row>
    <row r="24" spans="1:46" ht="34" x14ac:dyDescent="0.2">
      <c r="A24" s="634">
        <v>1.2</v>
      </c>
      <c r="B24" s="38" t="s">
        <v>49</v>
      </c>
      <c r="C24" s="11" t="s">
        <v>109</v>
      </c>
      <c r="D24" s="11" t="s">
        <v>110</v>
      </c>
      <c r="E24" s="4">
        <v>174</v>
      </c>
      <c r="F24" s="4">
        <v>53</v>
      </c>
      <c r="G24" s="4">
        <v>96</v>
      </c>
      <c r="H24" s="4">
        <v>3</v>
      </c>
      <c r="I24" s="4">
        <f t="shared" si="4"/>
        <v>513</v>
      </c>
      <c r="J24" s="4">
        <f t="shared" si="5"/>
        <v>1539</v>
      </c>
      <c r="K24" s="19">
        <v>587</v>
      </c>
      <c r="L24" s="4">
        <f t="shared" si="6"/>
        <v>1761</v>
      </c>
      <c r="M24" s="19" t="s">
        <v>52</v>
      </c>
      <c r="N24" s="767" t="s">
        <v>45</v>
      </c>
      <c r="O24" s="756" t="s">
        <v>53</v>
      </c>
      <c r="P24" s="756" t="s">
        <v>54</v>
      </c>
      <c r="Q24" s="708">
        <v>44112</v>
      </c>
      <c r="R24" s="63">
        <v>44159</v>
      </c>
      <c r="S24" s="758" t="s">
        <v>54</v>
      </c>
      <c r="T24" s="758" t="s">
        <v>92</v>
      </c>
      <c r="U24" s="742" t="s">
        <v>54</v>
      </c>
      <c r="V24" s="741" t="str">
        <f t="shared" si="2"/>
        <v>In McMurdo</v>
      </c>
      <c r="W24" s="742" t="s">
        <v>55</v>
      </c>
      <c r="X24" s="759" t="str">
        <f t="shared" si="7"/>
        <v>in McMurdo</v>
      </c>
      <c r="Y24" s="316" t="s">
        <v>45</v>
      </c>
      <c r="Z24" s="316" t="s">
        <v>45</v>
      </c>
      <c r="AA24" s="316" t="s">
        <v>45</v>
      </c>
      <c r="AB24" s="316" t="s">
        <v>45</v>
      </c>
      <c r="AC24" s="316" t="s">
        <v>45</v>
      </c>
      <c r="AD24" s="58" t="s">
        <v>54</v>
      </c>
      <c r="AE24" s="754" t="str">
        <f t="shared" si="3"/>
        <v>FY23 intra</v>
      </c>
      <c r="AF24" s="363" t="str">
        <f t="shared" si="0"/>
        <v>FY23 SPOT 1</v>
      </c>
      <c r="AG24" s="320">
        <v>0.5</v>
      </c>
      <c r="AH24" s="320" t="s">
        <v>45</v>
      </c>
      <c r="AI24" s="320" t="s">
        <v>45</v>
      </c>
      <c r="AJ24" s="371" t="s">
        <v>45</v>
      </c>
      <c r="AK24" s="53">
        <v>44896</v>
      </c>
      <c r="AL24" s="53">
        <v>45272</v>
      </c>
      <c r="AM24" s="761">
        <f t="shared" si="8"/>
        <v>376</v>
      </c>
      <c r="AN24" s="761">
        <f t="shared" si="9"/>
        <v>1113</v>
      </c>
      <c r="AO24" s="762" t="s">
        <v>56</v>
      </c>
      <c r="AP24" s="762" t="s">
        <v>57</v>
      </c>
      <c r="AQ24" s="702">
        <v>44477</v>
      </c>
      <c r="AR24" s="762" t="s">
        <v>58</v>
      </c>
      <c r="AS24" s="702">
        <v>44477</v>
      </c>
      <c r="AT24" s="762" t="s">
        <v>45</v>
      </c>
    </row>
    <row r="25" spans="1:46" ht="34" x14ac:dyDescent="0.2">
      <c r="A25" s="634">
        <v>1.2</v>
      </c>
      <c r="B25" s="38" t="s">
        <v>49</v>
      </c>
      <c r="C25" s="11" t="s">
        <v>111</v>
      </c>
      <c r="D25" s="11" t="s">
        <v>110</v>
      </c>
      <c r="E25" s="4">
        <v>108</v>
      </c>
      <c r="F25" s="4">
        <v>53</v>
      </c>
      <c r="G25" s="4">
        <v>60</v>
      </c>
      <c r="H25" s="4">
        <v>2</v>
      </c>
      <c r="I25" s="4">
        <f t="shared" si="4"/>
        <v>199</v>
      </c>
      <c r="J25" s="4">
        <f t="shared" si="5"/>
        <v>398</v>
      </c>
      <c r="K25" s="19">
        <v>1210</v>
      </c>
      <c r="L25" s="4">
        <f t="shared" si="6"/>
        <v>2420</v>
      </c>
      <c r="M25" s="19" t="s">
        <v>52</v>
      </c>
      <c r="N25" s="767" t="s">
        <v>45</v>
      </c>
      <c r="O25" s="756" t="s">
        <v>53</v>
      </c>
      <c r="P25" s="756" t="s">
        <v>54</v>
      </c>
      <c r="Q25" s="708">
        <v>44112</v>
      </c>
      <c r="R25" s="63">
        <v>44159</v>
      </c>
      <c r="S25" s="758" t="s">
        <v>54</v>
      </c>
      <c r="T25" s="758" t="s">
        <v>92</v>
      </c>
      <c r="U25" s="742" t="s">
        <v>54</v>
      </c>
      <c r="V25" s="741" t="str">
        <f t="shared" si="2"/>
        <v>In McMurdo</v>
      </c>
      <c r="W25" s="742" t="s">
        <v>55</v>
      </c>
      <c r="X25" s="759" t="str">
        <f t="shared" si="7"/>
        <v>in McMurdo</v>
      </c>
      <c r="Y25" s="316" t="s">
        <v>45</v>
      </c>
      <c r="Z25" s="316" t="s">
        <v>45</v>
      </c>
      <c r="AA25" s="316" t="s">
        <v>45</v>
      </c>
      <c r="AB25" s="316" t="s">
        <v>45</v>
      </c>
      <c r="AC25" s="316" t="s">
        <v>45</v>
      </c>
      <c r="AD25" s="58" t="s">
        <v>54</v>
      </c>
      <c r="AE25" s="754" t="str">
        <f t="shared" si="3"/>
        <v>FY23 intra</v>
      </c>
      <c r="AF25" s="363" t="str">
        <f t="shared" si="0"/>
        <v>FY23 SPOT 1</v>
      </c>
      <c r="AG25" s="320">
        <v>0.5</v>
      </c>
      <c r="AH25" s="320" t="s">
        <v>45</v>
      </c>
      <c r="AI25" s="320" t="s">
        <v>45</v>
      </c>
      <c r="AJ25" s="371" t="s">
        <v>45</v>
      </c>
      <c r="AK25" s="53">
        <v>44896</v>
      </c>
      <c r="AL25" s="53">
        <v>45272</v>
      </c>
      <c r="AM25" s="761">
        <f t="shared" si="8"/>
        <v>376</v>
      </c>
      <c r="AN25" s="761">
        <f t="shared" si="9"/>
        <v>1113</v>
      </c>
      <c r="AO25" s="762" t="s">
        <v>56</v>
      </c>
      <c r="AP25" s="762" t="s">
        <v>57</v>
      </c>
      <c r="AQ25" s="702">
        <v>44477</v>
      </c>
      <c r="AR25" s="762" t="s">
        <v>58</v>
      </c>
      <c r="AS25" s="702">
        <v>44477</v>
      </c>
      <c r="AT25" s="762" t="s">
        <v>45</v>
      </c>
    </row>
    <row r="26" spans="1:46" ht="51" x14ac:dyDescent="0.2">
      <c r="A26" s="634">
        <v>1.2</v>
      </c>
      <c r="B26" s="38" t="s">
        <v>49</v>
      </c>
      <c r="C26" s="11" t="s">
        <v>112</v>
      </c>
      <c r="D26" s="11" t="s">
        <v>113</v>
      </c>
      <c r="E26" s="4">
        <v>92</v>
      </c>
      <c r="F26" s="4">
        <v>92</v>
      </c>
      <c r="G26" s="4">
        <v>70.5</v>
      </c>
      <c r="H26" s="4">
        <v>9</v>
      </c>
      <c r="I26" s="4">
        <f t="shared" si="4"/>
        <v>346</v>
      </c>
      <c r="J26" s="4">
        <f t="shared" si="5"/>
        <v>3114</v>
      </c>
      <c r="K26" s="19">
        <v>3532</v>
      </c>
      <c r="L26" s="4">
        <f t="shared" si="6"/>
        <v>31788</v>
      </c>
      <c r="M26" s="19" t="s">
        <v>52</v>
      </c>
      <c r="N26" s="707" t="s">
        <v>114</v>
      </c>
      <c r="O26" s="756" t="s">
        <v>53</v>
      </c>
      <c r="P26" s="756" t="s">
        <v>54</v>
      </c>
      <c r="Q26" s="708">
        <v>44041</v>
      </c>
      <c r="R26" s="63">
        <v>44058</v>
      </c>
      <c r="S26" s="758" t="s">
        <v>54</v>
      </c>
      <c r="T26" s="758" t="s">
        <v>92</v>
      </c>
      <c r="U26" s="742" t="s">
        <v>54</v>
      </c>
      <c r="V26" s="741" t="str">
        <f t="shared" si="2"/>
        <v>In McMurdo</v>
      </c>
      <c r="W26" s="742" t="s">
        <v>55</v>
      </c>
      <c r="X26" s="759" t="str">
        <f t="shared" si="7"/>
        <v>in McMurdo</v>
      </c>
      <c r="Y26" s="316" t="s">
        <v>45</v>
      </c>
      <c r="Z26" s="316" t="s">
        <v>45</v>
      </c>
      <c r="AA26" s="316" t="s">
        <v>45</v>
      </c>
      <c r="AB26" s="316" t="s">
        <v>45</v>
      </c>
      <c r="AC26" s="316" t="s">
        <v>45</v>
      </c>
      <c r="AD26" s="58" t="s">
        <v>54</v>
      </c>
      <c r="AE26" s="754" t="str">
        <f t="shared" si="3"/>
        <v>FY25 intra</v>
      </c>
      <c r="AF26" s="363" t="str">
        <f t="shared" ref="AF26:AF29" si="11">IFERROR(_xlfn.XLOOKUP(AK26,$B$155:$B$166,$A$155:$A$166),IFERROR(IF(AK26="","",IF(MONTH(AK26)&lt;10,_xlfn.TEXTJOIN("",TRUE,"FY",TEXT(AK26,"YY")," LC-130"),IF(MONTH(AK26)&gt;10,_xlfn.TEXTJOIN("",TRUE,"FY",YEAR(AK26)-2000+1," LC-130")))),AK26))</f>
        <v>FY25 SPOT 1</v>
      </c>
      <c r="AG26" s="320">
        <v>1.8</v>
      </c>
      <c r="AH26" s="320" t="s">
        <v>45</v>
      </c>
      <c r="AI26" s="320" t="s">
        <v>45</v>
      </c>
      <c r="AJ26" s="371" t="s">
        <v>45</v>
      </c>
      <c r="AK26" s="53">
        <v>45627</v>
      </c>
      <c r="AL26" s="53">
        <v>45641</v>
      </c>
      <c r="AM26" s="761">
        <f t="shared" si="8"/>
        <v>14</v>
      </c>
      <c r="AN26" s="761">
        <f t="shared" si="9"/>
        <v>1583</v>
      </c>
      <c r="AO26" s="762" t="s">
        <v>56</v>
      </c>
      <c r="AP26" s="762" t="s">
        <v>57</v>
      </c>
      <c r="AQ26" s="702">
        <v>44477</v>
      </c>
      <c r="AR26" s="762" t="s">
        <v>58</v>
      </c>
      <c r="AS26" s="702">
        <v>44630</v>
      </c>
      <c r="AT26" s="762" t="s">
        <v>115</v>
      </c>
    </row>
    <row r="27" spans="1:46" ht="51" x14ac:dyDescent="0.2">
      <c r="A27" s="635">
        <v>1.2</v>
      </c>
      <c r="B27" s="276" t="s">
        <v>49</v>
      </c>
      <c r="C27" s="277" t="s">
        <v>112</v>
      </c>
      <c r="D27" s="277" t="s">
        <v>116</v>
      </c>
      <c r="E27" s="4">
        <v>92</v>
      </c>
      <c r="F27" s="4">
        <v>92</v>
      </c>
      <c r="G27" s="4">
        <v>70.5</v>
      </c>
      <c r="H27" s="4">
        <v>3</v>
      </c>
      <c r="I27" s="4">
        <f t="shared" si="4"/>
        <v>346</v>
      </c>
      <c r="J27" s="4">
        <f t="shared" si="5"/>
        <v>1038</v>
      </c>
      <c r="K27" s="19">
        <v>5001</v>
      </c>
      <c r="L27" s="4">
        <f t="shared" si="6"/>
        <v>15003</v>
      </c>
      <c r="M27" s="19" t="s">
        <v>52</v>
      </c>
      <c r="N27" s="707" t="s">
        <v>114</v>
      </c>
      <c r="O27" s="756" t="s">
        <v>53</v>
      </c>
      <c r="P27" s="756" t="s">
        <v>54</v>
      </c>
      <c r="Q27" s="708">
        <v>44154</v>
      </c>
      <c r="R27" s="63">
        <v>44211</v>
      </c>
      <c r="S27" s="758" t="s">
        <v>54</v>
      </c>
      <c r="T27" s="758" t="s">
        <v>92</v>
      </c>
      <c r="U27" s="742" t="s">
        <v>54</v>
      </c>
      <c r="V27" s="741" t="str">
        <f t="shared" si="2"/>
        <v>In McMurdo</v>
      </c>
      <c r="W27" s="742" t="s">
        <v>55</v>
      </c>
      <c r="X27" s="759" t="str">
        <f t="shared" si="7"/>
        <v>in McMurdo</v>
      </c>
      <c r="Y27" s="316" t="s">
        <v>45</v>
      </c>
      <c r="Z27" s="316" t="s">
        <v>45</v>
      </c>
      <c r="AA27" s="316" t="s">
        <v>45</v>
      </c>
      <c r="AB27" s="316" t="s">
        <v>45</v>
      </c>
      <c r="AC27" s="316" t="s">
        <v>45</v>
      </c>
      <c r="AD27" s="58" t="s">
        <v>54</v>
      </c>
      <c r="AE27" s="754" t="str">
        <f>IF(ISBLANK(AK27),"",IFERROR(LOOKUP(AK27,FY_dates, intra_label),AK27))</f>
        <v>FY25 intra</v>
      </c>
      <c r="AF27" s="363" t="str">
        <f t="shared" si="11"/>
        <v>FY25 SPOT 1</v>
      </c>
      <c r="AG27" s="320">
        <v>0.6</v>
      </c>
      <c r="AH27" s="320" t="s">
        <v>45</v>
      </c>
      <c r="AI27" s="320" t="s">
        <v>45</v>
      </c>
      <c r="AJ27" s="371" t="s">
        <v>45</v>
      </c>
      <c r="AK27" s="53">
        <v>45627</v>
      </c>
      <c r="AL27" s="53">
        <v>45641</v>
      </c>
      <c r="AM27" s="761">
        <f>AL27-AK27</f>
        <v>14</v>
      </c>
      <c r="AN27" s="761">
        <f t="shared" si="9"/>
        <v>1430</v>
      </c>
      <c r="AO27" s="762" t="s">
        <v>56</v>
      </c>
      <c r="AP27" s="762" t="s">
        <v>57</v>
      </c>
      <c r="AQ27" s="702">
        <v>44477</v>
      </c>
      <c r="AR27" s="762" t="s">
        <v>58</v>
      </c>
      <c r="AS27" s="702">
        <v>44630</v>
      </c>
      <c r="AT27" s="768" t="s">
        <v>115</v>
      </c>
    </row>
    <row r="28" spans="1:46" s="60" customFormat="1" ht="20" x14ac:dyDescent="0.2">
      <c r="A28" s="273"/>
      <c r="B28" s="282"/>
      <c r="C28" s="279"/>
      <c r="D28" s="280" t="s">
        <v>117</v>
      </c>
      <c r="E28" s="281"/>
      <c r="F28" s="34"/>
      <c r="G28" s="34" t="s">
        <v>47</v>
      </c>
      <c r="H28" s="40">
        <f>J28/(1360*0.7)</f>
        <v>22.975840336134457</v>
      </c>
      <c r="I28" s="41"/>
      <c r="J28" s="41">
        <f>SUM(J9:J27)</f>
        <v>21873</v>
      </c>
      <c r="K28" s="41"/>
      <c r="L28" s="34">
        <f>SUM(L9:L27)</f>
        <v>227787</v>
      </c>
      <c r="M28" s="34"/>
      <c r="N28" s="34"/>
      <c r="O28" s="42"/>
      <c r="P28" s="42"/>
      <c r="Q28" s="52"/>
      <c r="R28" s="52"/>
      <c r="S28" s="43"/>
      <c r="T28" s="44"/>
      <c r="U28" s="43"/>
      <c r="V28" s="369" t="str">
        <f t="shared" si="2"/>
        <v/>
      </c>
      <c r="W28" s="44"/>
      <c r="X28" s="44"/>
      <c r="Y28" s="375"/>
      <c r="Z28" s="375"/>
      <c r="AA28" s="375"/>
      <c r="AB28" s="375"/>
      <c r="AC28" s="366"/>
      <c r="AD28" s="52"/>
      <c r="AE28" s="369"/>
      <c r="AF28" s="375"/>
      <c r="AG28" s="375"/>
      <c r="AH28" s="375"/>
      <c r="AI28" s="375"/>
      <c r="AJ28" s="366"/>
      <c r="AK28" s="52"/>
      <c r="AL28" s="52"/>
      <c r="AM28" s="657"/>
      <c r="AN28" s="657"/>
      <c r="AO28" s="369"/>
      <c r="AP28" s="369"/>
      <c r="AQ28" s="52"/>
      <c r="AR28" s="369"/>
      <c r="AS28" s="386"/>
      <c r="AT28" s="380"/>
    </row>
    <row r="29" spans="1:46" ht="19" x14ac:dyDescent="0.2">
      <c r="A29" s="683" t="s">
        <v>118</v>
      </c>
      <c r="B29" s="679"/>
      <c r="C29" s="679"/>
      <c r="D29" s="387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751"/>
      <c r="P29" s="751"/>
      <c r="Q29" s="270"/>
      <c r="R29" s="752"/>
      <c r="S29" s="751"/>
      <c r="T29" s="751"/>
      <c r="U29" s="753"/>
      <c r="V29" s="754"/>
      <c r="W29" s="751"/>
      <c r="X29" s="751"/>
      <c r="Y29" s="374"/>
      <c r="Z29" s="365"/>
      <c r="AA29" s="365"/>
      <c r="AB29" s="365"/>
      <c r="AC29" s="365"/>
      <c r="AD29" s="270"/>
      <c r="AE29" s="754"/>
      <c r="AF29" s="363" t="str">
        <f t="shared" si="11"/>
        <v/>
      </c>
      <c r="AG29" s="365"/>
      <c r="AH29" s="365"/>
      <c r="AI29" s="365"/>
      <c r="AJ29" s="365"/>
      <c r="AK29" s="752"/>
      <c r="AL29" s="752"/>
      <c r="AM29" s="755"/>
      <c r="AN29" s="755"/>
      <c r="AO29" s="754"/>
      <c r="AP29" s="754"/>
      <c r="AQ29" s="752"/>
      <c r="AR29" s="754"/>
      <c r="AS29" s="752"/>
      <c r="AT29" s="381"/>
    </row>
    <row r="30" spans="1:46" ht="51" x14ac:dyDescent="0.2">
      <c r="A30" s="769">
        <v>1.2</v>
      </c>
      <c r="B30" s="38" t="s">
        <v>49</v>
      </c>
      <c r="C30" s="11" t="s">
        <v>119</v>
      </c>
      <c r="D30" s="11" t="s">
        <v>120</v>
      </c>
      <c r="E30" s="9">
        <v>114</v>
      </c>
      <c r="F30" s="9">
        <v>77</v>
      </c>
      <c r="G30" s="9">
        <v>96</v>
      </c>
      <c r="H30" s="9">
        <v>1</v>
      </c>
      <c r="I30" s="4">
        <f t="shared" ref="I30:I32" si="12">ROUNDUP(E30*F30*G30/1728,0)</f>
        <v>488</v>
      </c>
      <c r="J30" s="4">
        <f>H30*I30</f>
        <v>488</v>
      </c>
      <c r="K30" s="4">
        <v>10273</v>
      </c>
      <c r="L30" s="4">
        <f>IF(ISERROR(SEARCH("totals", C30)),H30*K30, "")</f>
        <v>10273</v>
      </c>
      <c r="M30" s="4" t="s">
        <v>52</v>
      </c>
      <c r="N30" s="763" t="s">
        <v>45</v>
      </c>
      <c r="O30" s="756" t="s">
        <v>53</v>
      </c>
      <c r="P30" s="756" t="s">
        <v>121</v>
      </c>
      <c r="Q30" s="708">
        <v>43753</v>
      </c>
      <c r="R30" s="63">
        <v>43784</v>
      </c>
      <c r="S30" s="758" t="s">
        <v>121</v>
      </c>
      <c r="T30" s="758" t="s">
        <v>92</v>
      </c>
      <c r="U30" s="759" t="s">
        <v>121</v>
      </c>
      <c r="V30" s="741" t="str">
        <f>IF(ISBLANK(AD30),"",IFERROR(LOOKUP(AD30,FY_dates, inter_label),AD30))</f>
        <v>at South Pole</v>
      </c>
      <c r="W30" s="742" t="s">
        <v>122</v>
      </c>
      <c r="X30" s="759" t="str">
        <f t="shared" si="7"/>
        <v>at South Pole</v>
      </c>
      <c r="Y30" s="316" t="s">
        <v>45</v>
      </c>
      <c r="Z30" s="316" t="s">
        <v>45</v>
      </c>
      <c r="AA30" s="316" t="s">
        <v>45</v>
      </c>
      <c r="AB30" s="316" t="s">
        <v>45</v>
      </c>
      <c r="AC30" s="316" t="s">
        <v>45</v>
      </c>
      <c r="AD30" s="58" t="s">
        <v>122</v>
      </c>
      <c r="AE30" s="754" t="str">
        <f>IF(ISBLANK(AK30),"",IFERROR(LOOKUP(AK30,FY_dates, intra_label),AK30))</f>
        <v>at South Pole</v>
      </c>
      <c r="AF30" s="363" t="str">
        <f>IFERROR(_xlfn.XLOOKUP(AK30,$B$155:$B$166,$A$155:$A$166),IFERROR(IF(AK30="","",IF(MONTH(AK30)&lt;10,_xlfn.TEXTJOIN("",TRUE,"FY",TEXT(AK30,"YY")," LC-130"),IF(MONTH(AK30)&gt;10,_xlfn.TEXTJOIN("",TRUE,"FY",YEAR(AK30)-2000+1," LC-130")))),AK30))</f>
        <v>at South Pole</v>
      </c>
      <c r="AG30" s="320" t="s">
        <v>45</v>
      </c>
      <c r="AH30" s="371" t="s">
        <v>45</v>
      </c>
      <c r="AI30" s="320" t="s">
        <v>45</v>
      </c>
      <c r="AJ30" s="371" t="s">
        <v>45</v>
      </c>
      <c r="AK30" s="702" t="s">
        <v>122</v>
      </c>
      <c r="AL30" s="702">
        <v>45261</v>
      </c>
      <c r="AM30" s="761" t="str">
        <f>IFERROR(AL30-AK30,AK30)</f>
        <v>at South Pole</v>
      </c>
      <c r="AN30" s="761">
        <f>IFERROR(AL30-R30,R30)</f>
        <v>1477</v>
      </c>
      <c r="AO30" s="762" t="s">
        <v>107</v>
      </c>
      <c r="AP30" s="762" t="s">
        <v>57</v>
      </c>
      <c r="AQ30" s="702">
        <v>44476</v>
      </c>
      <c r="AR30" s="762" t="s">
        <v>58</v>
      </c>
      <c r="AS30" s="702">
        <v>44476</v>
      </c>
      <c r="AT30" s="382" t="s">
        <v>123</v>
      </c>
    </row>
    <row r="31" spans="1:46" ht="34" x14ac:dyDescent="0.2">
      <c r="A31" s="634">
        <v>1.2</v>
      </c>
      <c r="B31" s="38" t="s">
        <v>49</v>
      </c>
      <c r="C31" s="11" t="s">
        <v>124</v>
      </c>
      <c r="D31" s="11" t="s">
        <v>125</v>
      </c>
      <c r="E31" s="4">
        <v>97</v>
      </c>
      <c r="F31" s="4">
        <v>44</v>
      </c>
      <c r="G31" s="4">
        <v>63</v>
      </c>
      <c r="H31" s="4">
        <v>1</v>
      </c>
      <c r="I31" s="4">
        <f t="shared" si="12"/>
        <v>156</v>
      </c>
      <c r="J31" s="4">
        <f t="shared" ref="J31:J32" si="13">H31*I31</f>
        <v>156</v>
      </c>
      <c r="K31" s="4">
        <v>920</v>
      </c>
      <c r="L31" s="4">
        <f>IF(ISERROR(SEARCH("totals", C31)),H31*K31, "")</f>
        <v>920</v>
      </c>
      <c r="M31" s="4" t="s">
        <v>52</v>
      </c>
      <c r="N31" s="767" t="s">
        <v>45</v>
      </c>
      <c r="O31" s="756" t="s">
        <v>53</v>
      </c>
      <c r="P31" s="756" t="s">
        <v>121</v>
      </c>
      <c r="Q31" s="708">
        <v>43845</v>
      </c>
      <c r="R31" s="757" t="s">
        <v>45</v>
      </c>
      <c r="S31" s="758" t="s">
        <v>121</v>
      </c>
      <c r="T31" s="758" t="s">
        <v>45</v>
      </c>
      <c r="U31" s="759" t="s">
        <v>121</v>
      </c>
      <c r="V31" s="741" t="str">
        <f>IF(ISBLANK(AD31),"",IFERROR(LOOKUP(AD31,FY_dates, inter_label),AD31))</f>
        <v>at South Pole</v>
      </c>
      <c r="W31" s="742" t="s">
        <v>122</v>
      </c>
      <c r="X31" s="759" t="str">
        <f t="shared" si="7"/>
        <v>at South Pole</v>
      </c>
      <c r="Y31" s="316" t="s">
        <v>45</v>
      </c>
      <c r="Z31" s="316" t="s">
        <v>45</v>
      </c>
      <c r="AA31" s="316" t="s">
        <v>45</v>
      </c>
      <c r="AB31" s="316" t="s">
        <v>45</v>
      </c>
      <c r="AC31" s="316" t="s">
        <v>45</v>
      </c>
      <c r="AD31" s="58" t="s">
        <v>122</v>
      </c>
      <c r="AE31" s="754" t="str">
        <f>IF(ISBLANK(AK31),"",IFERROR(LOOKUP(AK31,FY_dates, intra_label),AK31))</f>
        <v>at South Pole</v>
      </c>
      <c r="AF31" s="363" t="str">
        <f t="shared" ref="AF31:AF38" si="14">IFERROR(_xlfn.XLOOKUP(AK31,$B$155:$B$166,$A$155:$A$166),IFERROR(IF(AK31="","",IF(MONTH(AK31)&lt;10,_xlfn.TEXTJOIN("",TRUE,"FY",TEXT(AK31,"YY")," LC-130"),IF(MONTH(AK31)&gt;10,_xlfn.TEXTJOIN("",TRUE,"FY",YEAR(AK31)-2000+1," LC-130")))),AK31))</f>
        <v>at South Pole</v>
      </c>
      <c r="AG31" s="320" t="s">
        <v>45</v>
      </c>
      <c r="AH31" s="371" t="s">
        <v>45</v>
      </c>
      <c r="AI31" s="320" t="s">
        <v>45</v>
      </c>
      <c r="AJ31" s="371" t="s">
        <v>45</v>
      </c>
      <c r="AK31" s="702" t="s">
        <v>122</v>
      </c>
      <c r="AL31" s="702">
        <v>45627</v>
      </c>
      <c r="AM31" s="761" t="str">
        <f t="shared" ref="AM31:AM32" si="15">IFERROR(AL31-AK31,AK31)</f>
        <v>at South Pole</v>
      </c>
      <c r="AN31" s="761" t="str">
        <f t="shared" si="9"/>
        <v>-</v>
      </c>
      <c r="AO31" s="762" t="s">
        <v>56</v>
      </c>
      <c r="AP31" s="762" t="s">
        <v>57</v>
      </c>
      <c r="AQ31" s="702">
        <v>44477</v>
      </c>
      <c r="AR31" s="762" t="s">
        <v>58</v>
      </c>
      <c r="AS31" s="702">
        <v>44477</v>
      </c>
      <c r="AT31" s="762" t="s">
        <v>45</v>
      </c>
    </row>
    <row r="32" spans="1:46" ht="34" x14ac:dyDescent="0.2">
      <c r="A32" s="635">
        <v>1.2</v>
      </c>
      <c r="B32" s="276" t="s">
        <v>49</v>
      </c>
      <c r="C32" s="277" t="s">
        <v>126</v>
      </c>
      <c r="D32" s="277" t="s">
        <v>127</v>
      </c>
      <c r="E32" s="4">
        <v>125</v>
      </c>
      <c r="F32" s="4">
        <v>33</v>
      </c>
      <c r="G32" s="4">
        <v>37</v>
      </c>
      <c r="H32" s="4">
        <v>1</v>
      </c>
      <c r="I32" s="4">
        <f t="shared" si="12"/>
        <v>89</v>
      </c>
      <c r="J32" s="4">
        <f t="shared" si="13"/>
        <v>89</v>
      </c>
      <c r="K32" s="4">
        <v>1048</v>
      </c>
      <c r="L32" s="4">
        <f>IF(ISERROR(SEARCH("totals", C32)),H32*K32, "")</f>
        <v>1048</v>
      </c>
      <c r="M32" s="4" t="s">
        <v>52</v>
      </c>
      <c r="N32" s="767" t="s">
        <v>45</v>
      </c>
      <c r="O32" s="756" t="s">
        <v>53</v>
      </c>
      <c r="P32" s="756" t="s">
        <v>121</v>
      </c>
      <c r="Q32" s="708">
        <v>43845</v>
      </c>
      <c r="R32" s="757" t="s">
        <v>45</v>
      </c>
      <c r="S32" s="758" t="s">
        <v>121</v>
      </c>
      <c r="T32" s="758" t="s">
        <v>45</v>
      </c>
      <c r="U32" s="759" t="s">
        <v>121</v>
      </c>
      <c r="V32" s="741" t="str">
        <f>IF(ISBLANK(AD32),"",IFERROR(LOOKUP(AD32,FY_dates, inter_label),AD32))</f>
        <v>at South Pole</v>
      </c>
      <c r="W32" s="742" t="s">
        <v>122</v>
      </c>
      <c r="X32" s="759" t="str">
        <f t="shared" si="7"/>
        <v>at South Pole</v>
      </c>
      <c r="Y32" s="316" t="s">
        <v>45</v>
      </c>
      <c r="Z32" s="316" t="s">
        <v>45</v>
      </c>
      <c r="AA32" s="316" t="s">
        <v>45</v>
      </c>
      <c r="AB32" s="316" t="s">
        <v>45</v>
      </c>
      <c r="AC32" s="316" t="s">
        <v>45</v>
      </c>
      <c r="AD32" s="58" t="s">
        <v>122</v>
      </c>
      <c r="AE32" s="754" t="str">
        <f>IF(ISBLANK(AK32),"",IFERROR(LOOKUP(AK32,FY_dates, intra_label),AK32))</f>
        <v>at South Pole</v>
      </c>
      <c r="AF32" s="363" t="str">
        <f t="shared" si="14"/>
        <v>at South Pole</v>
      </c>
      <c r="AG32" s="320" t="s">
        <v>45</v>
      </c>
      <c r="AH32" s="371" t="s">
        <v>45</v>
      </c>
      <c r="AI32" s="320" t="s">
        <v>45</v>
      </c>
      <c r="AJ32" s="371" t="s">
        <v>45</v>
      </c>
      <c r="AK32" s="702" t="s">
        <v>122</v>
      </c>
      <c r="AL32" s="702">
        <v>45627</v>
      </c>
      <c r="AM32" s="761" t="str">
        <f t="shared" si="15"/>
        <v>at South Pole</v>
      </c>
      <c r="AN32" s="761" t="str">
        <f t="shared" si="9"/>
        <v>-</v>
      </c>
      <c r="AO32" s="762" t="s">
        <v>56</v>
      </c>
      <c r="AP32" s="762" t="s">
        <v>57</v>
      </c>
      <c r="AQ32" s="702">
        <v>44477</v>
      </c>
      <c r="AR32" s="762" t="s">
        <v>58</v>
      </c>
      <c r="AS32" s="702">
        <v>44477</v>
      </c>
      <c r="AT32" s="762" t="s">
        <v>45</v>
      </c>
    </row>
    <row r="33" spans="1:46" s="60" customFormat="1" ht="20" x14ac:dyDescent="0.2">
      <c r="A33" s="273"/>
      <c r="B33" s="282"/>
      <c r="C33" s="279"/>
      <c r="D33" s="280" t="s">
        <v>128</v>
      </c>
      <c r="E33" s="281"/>
      <c r="F33" s="34"/>
      <c r="G33" s="34" t="s">
        <v>47</v>
      </c>
      <c r="H33" s="40">
        <f>J33/(1360*0.7)</f>
        <v>0.76995798319327735</v>
      </c>
      <c r="I33" s="41"/>
      <c r="J33" s="41">
        <f>SUM(J30:J32)</f>
        <v>733</v>
      </c>
      <c r="K33" s="41"/>
      <c r="L33" s="34">
        <f>SUM(L30:L32)</f>
        <v>12241</v>
      </c>
      <c r="M33" s="34"/>
      <c r="N33" s="34"/>
      <c r="O33" s="42"/>
      <c r="P33" s="42"/>
      <c r="Q33" s="52"/>
      <c r="R33" s="52"/>
      <c r="S33" s="43"/>
      <c r="T33" s="44"/>
      <c r="U33" s="43"/>
      <c r="V33" s="369" t="str">
        <f>IF(ISBLANK(AD33),"",IFERROR(LOOKUP(AD33,FY_dates, inter_label),AD33))</f>
        <v/>
      </c>
      <c r="W33" s="44"/>
      <c r="X33" s="44"/>
      <c r="Y33" s="375"/>
      <c r="Z33" s="375"/>
      <c r="AA33" s="375"/>
      <c r="AB33" s="375"/>
      <c r="AC33" s="366"/>
      <c r="AD33" s="52"/>
      <c r="AE33" s="369"/>
      <c r="AF33" s="375"/>
      <c r="AG33" s="375"/>
      <c r="AH33" s="375"/>
      <c r="AI33" s="375"/>
      <c r="AJ33" s="366"/>
      <c r="AK33" s="52"/>
      <c r="AL33" s="52"/>
      <c r="AM33" s="657"/>
      <c r="AN33" s="657"/>
      <c r="AO33" s="369"/>
      <c r="AP33" s="369"/>
      <c r="AQ33" s="52"/>
      <c r="AR33" s="369"/>
      <c r="AS33" s="52"/>
      <c r="AT33" s="369"/>
    </row>
    <row r="34" spans="1:46" ht="19" x14ac:dyDescent="0.2">
      <c r="A34" s="683" t="s">
        <v>129</v>
      </c>
      <c r="B34" s="683"/>
      <c r="C34" s="683"/>
      <c r="D34" s="684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751"/>
      <c r="P34" s="751"/>
      <c r="Q34" s="270"/>
      <c r="R34" s="752"/>
      <c r="S34" s="751"/>
      <c r="T34" s="751"/>
      <c r="U34" s="753"/>
      <c r="V34" s="754"/>
      <c r="W34" s="751"/>
      <c r="X34" s="751"/>
      <c r="Y34" s="374"/>
      <c r="Z34" s="365"/>
      <c r="AA34" s="365"/>
      <c r="AB34" s="365"/>
      <c r="AC34" s="365"/>
      <c r="AD34" s="270"/>
      <c r="AE34" s="754"/>
      <c r="AF34" s="363" t="str">
        <f t="shared" si="14"/>
        <v/>
      </c>
      <c r="AG34" s="365"/>
      <c r="AH34" s="365"/>
      <c r="AI34" s="365"/>
      <c r="AJ34" s="365"/>
      <c r="AK34" s="752"/>
      <c r="AL34" s="752"/>
      <c r="AM34" s="755"/>
      <c r="AN34" s="755"/>
      <c r="AO34" s="754"/>
      <c r="AP34" s="754"/>
      <c r="AQ34" s="752"/>
      <c r="AR34" s="754"/>
      <c r="AS34" s="752"/>
      <c r="AT34" s="363"/>
    </row>
    <row r="35" spans="1:46" s="22" customFormat="1" ht="68" x14ac:dyDescent="0.2">
      <c r="A35" s="634">
        <v>1.2</v>
      </c>
      <c r="B35" s="38" t="s">
        <v>49</v>
      </c>
      <c r="C35" s="11" t="s">
        <v>659</v>
      </c>
      <c r="D35" s="11" t="s">
        <v>130</v>
      </c>
      <c r="E35" s="4">
        <v>96</v>
      </c>
      <c r="F35" s="4">
        <v>48</v>
      </c>
      <c r="G35" s="4">
        <v>48</v>
      </c>
      <c r="H35" s="4">
        <v>1</v>
      </c>
      <c r="I35" s="4">
        <f t="shared" ref="I35:I40" si="16">ROUNDUP(E35*F35*G35/1728,0)</f>
        <v>128</v>
      </c>
      <c r="J35" s="19">
        <f t="shared" ref="J35:J40" si="17">I35*H35</f>
        <v>128</v>
      </c>
      <c r="K35" s="19">
        <v>1200</v>
      </c>
      <c r="L35" s="4">
        <f>IF(ISERROR(SEARCH("totals", C35)),H35*K35, "")</f>
        <v>1200</v>
      </c>
      <c r="M35" s="4" t="s">
        <v>131</v>
      </c>
      <c r="N35" s="4" t="s">
        <v>132</v>
      </c>
      <c r="O35" s="9" t="s">
        <v>53</v>
      </c>
      <c r="P35" s="760">
        <f t="shared" ref="P35:P66" si="18">R35-Q35</f>
        <v>30</v>
      </c>
      <c r="Q35" s="709">
        <v>44819</v>
      </c>
      <c r="R35" s="757">
        <v>44849</v>
      </c>
      <c r="S35" s="65" t="s">
        <v>133</v>
      </c>
      <c r="T35" s="66" t="s">
        <v>85</v>
      </c>
      <c r="U35" s="759" t="s">
        <v>134</v>
      </c>
      <c r="V35" s="741" t="str">
        <f>IF(ISBLANK(AD35),"",IFERROR(LOOKUP(AD35,FY_dates, inter_label),AD35))</f>
        <v>FY23 inter</v>
      </c>
      <c r="W35" s="742" t="s">
        <v>62</v>
      </c>
      <c r="X35" s="759" t="str">
        <f t="shared" ref="X35:X40" si="19">IF(ISNUMBER(SEARCH("Vessel",W35)),"USAP Vessel",IF(ISNUMBER(SEARCH("Comsur",W35)),"USAP Air",W35))</f>
        <v>USAP Vessel</v>
      </c>
      <c r="Y35" s="320" t="s">
        <v>45</v>
      </c>
      <c r="Z35" s="320" t="s">
        <v>45</v>
      </c>
      <c r="AA35" s="320" t="s">
        <v>45</v>
      </c>
      <c r="AB35" s="320">
        <v>0.5</v>
      </c>
      <c r="AC35" s="770">
        <v>0.25</v>
      </c>
      <c r="AD35" s="709">
        <v>44963</v>
      </c>
      <c r="AE35" s="754" t="str">
        <f t="shared" ref="AE35:AE41" si="20">IF(ISBLANK(AK35),"",IFERROR(LOOKUP(AK35,FY_dates, intra_label),AK35))</f>
        <v>FY24 intra</v>
      </c>
      <c r="AF35" s="363" t="str">
        <f t="shared" si="14"/>
        <v>FY24 LC-130</v>
      </c>
      <c r="AG35" s="320" t="s">
        <v>45</v>
      </c>
      <c r="AH35" s="320" t="s">
        <v>45</v>
      </c>
      <c r="AI35" s="320" t="s">
        <v>45</v>
      </c>
      <c r="AJ35" s="771">
        <f>AC35</f>
        <v>0.25</v>
      </c>
      <c r="AK35" s="53">
        <v>45245</v>
      </c>
      <c r="AL35" s="53">
        <v>45261</v>
      </c>
      <c r="AM35" s="761">
        <f>AL35-AK35</f>
        <v>16</v>
      </c>
      <c r="AN35" s="761">
        <f t="shared" si="9"/>
        <v>412</v>
      </c>
      <c r="AO35" s="316" t="s">
        <v>56</v>
      </c>
      <c r="AP35" s="762" t="s">
        <v>57</v>
      </c>
      <c r="AQ35" s="702">
        <v>44477</v>
      </c>
      <c r="AR35" s="762" t="s">
        <v>58</v>
      </c>
      <c r="AS35" s="702">
        <v>44477</v>
      </c>
      <c r="AT35" s="322" t="s">
        <v>45</v>
      </c>
    </row>
    <row r="36" spans="1:46" s="10" customFormat="1" ht="85" x14ac:dyDescent="0.2">
      <c r="A36" s="637">
        <v>1.2</v>
      </c>
      <c r="B36" s="38" t="s">
        <v>49</v>
      </c>
      <c r="C36" s="14" t="s">
        <v>135</v>
      </c>
      <c r="D36" s="14" t="s">
        <v>136</v>
      </c>
      <c r="E36" s="19">
        <v>96</v>
      </c>
      <c r="F36" s="19">
        <v>48</v>
      </c>
      <c r="G36" s="19">
        <v>48</v>
      </c>
      <c r="H36" s="19">
        <v>1</v>
      </c>
      <c r="I36" s="4">
        <f t="shared" si="16"/>
        <v>128</v>
      </c>
      <c r="J36" s="19">
        <f t="shared" si="17"/>
        <v>128</v>
      </c>
      <c r="K36" s="19">
        <v>3000</v>
      </c>
      <c r="L36" s="4">
        <f t="shared" ref="L36:L66" si="21">IF(ISERROR(SEARCH("totals", C36)),H36*K36, "")</f>
        <v>3000</v>
      </c>
      <c r="M36" s="767" t="s">
        <v>131</v>
      </c>
      <c r="N36" s="767" t="s">
        <v>132</v>
      </c>
      <c r="O36" s="760" t="s">
        <v>53</v>
      </c>
      <c r="P36" s="760">
        <f t="shared" si="18"/>
        <v>14</v>
      </c>
      <c r="Q36" s="709">
        <v>44835</v>
      </c>
      <c r="R36" s="757">
        <v>44849</v>
      </c>
      <c r="S36" s="772" t="s">
        <v>133</v>
      </c>
      <c r="T36" s="758" t="s">
        <v>92</v>
      </c>
      <c r="U36" s="759" t="s">
        <v>137</v>
      </c>
      <c r="V36" s="741" t="str">
        <f t="shared" ref="V36" si="22">IF(ISBLANK(AD36),"",IFERROR(LOOKUP(AD36,FY_dates, inter_label),AD36))</f>
        <v>FY23 inter</v>
      </c>
      <c r="W36" s="742" t="s">
        <v>62</v>
      </c>
      <c r="X36" s="759" t="str">
        <f t="shared" si="19"/>
        <v>USAP Vessel</v>
      </c>
      <c r="Y36" s="320" t="s">
        <v>45</v>
      </c>
      <c r="Z36" s="320" t="s">
        <v>45</v>
      </c>
      <c r="AA36" s="320" t="s">
        <v>45</v>
      </c>
      <c r="AB36" s="320" t="s">
        <v>45</v>
      </c>
      <c r="AC36" s="773">
        <v>0.5</v>
      </c>
      <c r="AD36" s="709">
        <v>44963</v>
      </c>
      <c r="AE36" s="754" t="str">
        <f t="shared" si="20"/>
        <v>FY24 intra</v>
      </c>
      <c r="AF36" s="363" t="str">
        <f t="shared" si="14"/>
        <v>FY24 LC-130</v>
      </c>
      <c r="AG36" s="320" t="s">
        <v>45</v>
      </c>
      <c r="AH36" s="320" t="s">
        <v>45</v>
      </c>
      <c r="AI36" s="320" t="s">
        <v>45</v>
      </c>
      <c r="AJ36" s="771">
        <f t="shared" ref="AJ36:AJ41" si="23">AC36</f>
        <v>0.5</v>
      </c>
      <c r="AK36" s="53">
        <v>45245</v>
      </c>
      <c r="AL36" s="53">
        <v>45245</v>
      </c>
      <c r="AM36" s="761">
        <f t="shared" ref="AM36:AM100" si="24">AL36-AK36</f>
        <v>0</v>
      </c>
      <c r="AN36" s="761">
        <f t="shared" si="9"/>
        <v>396</v>
      </c>
      <c r="AO36" s="774" t="s">
        <v>56</v>
      </c>
      <c r="AP36" s="762" t="s">
        <v>57</v>
      </c>
      <c r="AQ36" s="702">
        <v>44477</v>
      </c>
      <c r="AR36" s="762" t="s">
        <v>58</v>
      </c>
      <c r="AS36" s="702">
        <v>44477</v>
      </c>
      <c r="AT36" s="774" t="s">
        <v>138</v>
      </c>
    </row>
    <row r="37" spans="1:46" ht="51" x14ac:dyDescent="0.2">
      <c r="A37" s="636">
        <v>1.2</v>
      </c>
      <c r="B37" s="775" t="s">
        <v>49</v>
      </c>
      <c r="C37" s="3" t="s">
        <v>139</v>
      </c>
      <c r="D37" s="3" t="s">
        <v>140</v>
      </c>
      <c r="E37" s="4">
        <v>96</v>
      </c>
      <c r="F37" s="4">
        <v>48</v>
      </c>
      <c r="G37" s="4">
        <v>48</v>
      </c>
      <c r="H37" s="20">
        <v>1</v>
      </c>
      <c r="I37" s="4">
        <f t="shared" si="16"/>
        <v>128</v>
      </c>
      <c r="J37" s="19">
        <f t="shared" si="17"/>
        <v>128</v>
      </c>
      <c r="K37" s="19">
        <v>3000</v>
      </c>
      <c r="L37" s="4">
        <f>IF(ISERROR(SEARCH("totals", C37)),H37*K37, "")</f>
        <v>3000</v>
      </c>
      <c r="M37" s="20" t="s">
        <v>131</v>
      </c>
      <c r="N37" s="5" t="s">
        <v>132</v>
      </c>
      <c r="O37" s="756" t="s">
        <v>53</v>
      </c>
      <c r="P37" s="760">
        <f t="shared" si="18"/>
        <v>31</v>
      </c>
      <c r="Q37" s="702">
        <v>45108</v>
      </c>
      <c r="R37" s="757">
        <v>45139</v>
      </c>
      <c r="S37" s="772" t="s">
        <v>133</v>
      </c>
      <c r="T37" s="758" t="s">
        <v>92</v>
      </c>
      <c r="U37" s="759" t="s">
        <v>137</v>
      </c>
      <c r="V37" s="741" t="str">
        <f>IF(ISBLANK(AD37),"",IFERROR(LOOKUP(AD37,FY_dates, inter_label),AD37))</f>
        <v>FY24 inter</v>
      </c>
      <c r="W37" s="742" t="s">
        <v>141</v>
      </c>
      <c r="X37" s="759" t="str">
        <f t="shared" si="19"/>
        <v>USAP Air</v>
      </c>
      <c r="Y37" s="320" t="s">
        <v>45</v>
      </c>
      <c r="Z37" s="320" t="s">
        <v>45</v>
      </c>
      <c r="AA37" s="320" t="s">
        <v>45</v>
      </c>
      <c r="AB37" s="320" t="s">
        <v>45</v>
      </c>
      <c r="AC37" s="315">
        <v>0.5</v>
      </c>
      <c r="AD37" s="702">
        <v>45231</v>
      </c>
      <c r="AE37" s="754" t="str">
        <f t="shared" si="20"/>
        <v>FY24 intra</v>
      </c>
      <c r="AF37" s="363" t="str">
        <f t="shared" si="14"/>
        <v>FY24 LC-130</v>
      </c>
      <c r="AG37" s="320" t="s">
        <v>45</v>
      </c>
      <c r="AH37" s="320" t="s">
        <v>45</v>
      </c>
      <c r="AI37" s="320" t="s">
        <v>45</v>
      </c>
      <c r="AJ37" s="771">
        <f>AC37</f>
        <v>0.5</v>
      </c>
      <c r="AK37" s="53">
        <v>45245</v>
      </c>
      <c r="AL37" s="53">
        <v>45245</v>
      </c>
      <c r="AM37" s="761">
        <f>AL37-AK37</f>
        <v>0</v>
      </c>
      <c r="AN37" s="761">
        <f t="shared" si="9"/>
        <v>106</v>
      </c>
      <c r="AO37" s="762" t="s">
        <v>56</v>
      </c>
      <c r="AP37" s="762" t="s">
        <v>57</v>
      </c>
      <c r="AQ37" s="702">
        <v>44477</v>
      </c>
      <c r="AR37" s="762" t="s">
        <v>58</v>
      </c>
      <c r="AS37" s="702">
        <v>44477</v>
      </c>
      <c r="AT37" s="762" t="s">
        <v>142</v>
      </c>
    </row>
    <row r="38" spans="1:46" ht="51" x14ac:dyDescent="0.2">
      <c r="A38" s="636">
        <v>1.2</v>
      </c>
      <c r="B38" s="775" t="s">
        <v>49</v>
      </c>
      <c r="C38" s="3" t="s">
        <v>143</v>
      </c>
      <c r="D38" s="3" t="s">
        <v>144</v>
      </c>
      <c r="E38" s="4">
        <v>96</v>
      </c>
      <c r="F38" s="4">
        <v>48</v>
      </c>
      <c r="G38" s="4">
        <v>48</v>
      </c>
      <c r="H38" s="20">
        <v>1</v>
      </c>
      <c r="I38" s="4">
        <f t="shared" si="16"/>
        <v>128</v>
      </c>
      <c r="J38" s="19">
        <f t="shared" si="17"/>
        <v>128</v>
      </c>
      <c r="K38" s="19">
        <v>3000</v>
      </c>
      <c r="L38" s="4">
        <f>IF(ISERROR(SEARCH("totals", C38)),H38*K38, "")</f>
        <v>3000</v>
      </c>
      <c r="M38" s="20" t="s">
        <v>131</v>
      </c>
      <c r="N38" s="5" t="s">
        <v>132</v>
      </c>
      <c r="O38" s="756" t="s">
        <v>53</v>
      </c>
      <c r="P38" s="760">
        <f t="shared" si="18"/>
        <v>31</v>
      </c>
      <c r="Q38" s="702">
        <v>45474</v>
      </c>
      <c r="R38" s="757">
        <v>45505</v>
      </c>
      <c r="S38" s="772" t="s">
        <v>133</v>
      </c>
      <c r="T38" s="758" t="s">
        <v>92</v>
      </c>
      <c r="U38" s="759" t="s">
        <v>137</v>
      </c>
      <c r="V38" s="741" t="str">
        <f>IF(ISBLANK(AD38),"",IFERROR(LOOKUP(AD38,FY_dates, inter_label),AD38))</f>
        <v>FY25 inter</v>
      </c>
      <c r="W38" s="742" t="s">
        <v>145</v>
      </c>
      <c r="X38" s="759" t="str">
        <f t="shared" si="19"/>
        <v>USAP Air</v>
      </c>
      <c r="Y38" s="320" t="s">
        <v>45</v>
      </c>
      <c r="Z38" s="320" t="s">
        <v>45</v>
      </c>
      <c r="AA38" s="320" t="s">
        <v>45</v>
      </c>
      <c r="AB38" s="320" t="s">
        <v>45</v>
      </c>
      <c r="AC38" s="315">
        <v>0.5</v>
      </c>
      <c r="AD38" s="702">
        <v>45597</v>
      </c>
      <c r="AE38" s="754" t="str">
        <f t="shared" si="20"/>
        <v>FY25 intra</v>
      </c>
      <c r="AF38" s="363" t="str">
        <f t="shared" si="14"/>
        <v>FY25 LC-130</v>
      </c>
      <c r="AG38" s="320" t="s">
        <v>45</v>
      </c>
      <c r="AH38" s="320" t="s">
        <v>45</v>
      </c>
      <c r="AI38" s="320" t="s">
        <v>45</v>
      </c>
      <c r="AJ38" s="771">
        <f>AC38</f>
        <v>0.5</v>
      </c>
      <c r="AK38" s="53">
        <v>45611</v>
      </c>
      <c r="AL38" s="53">
        <v>45611</v>
      </c>
      <c r="AM38" s="761">
        <f>AL38-AK38</f>
        <v>0</v>
      </c>
      <c r="AN38" s="761">
        <f t="shared" si="9"/>
        <v>106</v>
      </c>
      <c r="AO38" s="762" t="s">
        <v>56</v>
      </c>
      <c r="AP38" s="762" t="s">
        <v>57</v>
      </c>
      <c r="AQ38" s="702">
        <v>44477</v>
      </c>
      <c r="AR38" s="762" t="s">
        <v>58</v>
      </c>
      <c r="AS38" s="702">
        <v>44477</v>
      </c>
      <c r="AT38" s="762" t="s">
        <v>45</v>
      </c>
    </row>
    <row r="39" spans="1:46" ht="102" x14ac:dyDescent="0.2">
      <c r="A39" s="636">
        <v>1.2</v>
      </c>
      <c r="B39" s="37" t="s">
        <v>49</v>
      </c>
      <c r="C39" s="3" t="s">
        <v>146</v>
      </c>
      <c r="D39" s="3" t="s">
        <v>147</v>
      </c>
      <c r="E39" s="19">
        <v>240</v>
      </c>
      <c r="F39" s="19">
        <v>96</v>
      </c>
      <c r="G39" s="19">
        <v>102</v>
      </c>
      <c r="H39" s="20">
        <v>1</v>
      </c>
      <c r="I39" s="4">
        <f t="shared" si="16"/>
        <v>1360</v>
      </c>
      <c r="J39" s="19">
        <f t="shared" si="17"/>
        <v>1360</v>
      </c>
      <c r="K39" s="19">
        <v>21500</v>
      </c>
      <c r="L39" s="4">
        <f>IF(ISERROR(SEARCH("totals", C39)),H39*K39, "")</f>
        <v>21500</v>
      </c>
      <c r="M39" s="20" t="s">
        <v>52</v>
      </c>
      <c r="N39" s="767" t="s">
        <v>45</v>
      </c>
      <c r="O39" s="756" t="s">
        <v>53</v>
      </c>
      <c r="P39" s="760">
        <f t="shared" si="18"/>
        <v>31</v>
      </c>
      <c r="Q39" s="878">
        <v>44818</v>
      </c>
      <c r="R39" s="757">
        <v>44849</v>
      </c>
      <c r="S39" s="772" t="s">
        <v>133</v>
      </c>
      <c r="T39" s="758" t="s">
        <v>92</v>
      </c>
      <c r="U39" s="759" t="s">
        <v>134</v>
      </c>
      <c r="V39" s="741" t="str">
        <f>IF(ISBLANK(AD39),"",IFERROR(LOOKUP(AD39,FY_dates, inter_label),AD39))</f>
        <v>FY23 inter</v>
      </c>
      <c r="W39" s="742" t="s">
        <v>62</v>
      </c>
      <c r="X39" s="759" t="str">
        <f t="shared" si="19"/>
        <v>USAP Vessel</v>
      </c>
      <c r="Y39" s="320" t="s">
        <v>45</v>
      </c>
      <c r="Z39" s="320" t="s">
        <v>45</v>
      </c>
      <c r="AA39" s="320">
        <v>1</v>
      </c>
      <c r="AB39" s="315" t="s">
        <v>45</v>
      </c>
      <c r="AC39" s="320" t="s">
        <v>45</v>
      </c>
      <c r="AD39" s="702">
        <v>44963</v>
      </c>
      <c r="AE39" s="754" t="str">
        <f t="shared" si="20"/>
        <v>FY24 intra</v>
      </c>
      <c r="AF39" s="363" t="str">
        <f>IFERROR(_xlfn.XLOOKUP(AK39,$B$155:$B$166,$A$155:$A$166),IFERROR(IF(AK39="","",IF(MONTH(AK39)&lt;10,_xlfn.TEXTJOIN("",TRUE,"FY",TEXT(AK39,"YY")," LC-130"),IF(MONTH(AK39)&gt;10,_xlfn.TEXTJOIN("",TRUE,"FY",YEAR(AK39)-2000+1," LC-130")))),AK39))</f>
        <v>FY24 SPOT 1</v>
      </c>
      <c r="AG39" s="320">
        <v>0.5</v>
      </c>
      <c r="AH39" s="320" t="s">
        <v>45</v>
      </c>
      <c r="AI39" s="320" t="s">
        <v>45</v>
      </c>
      <c r="AJ39" s="771" t="str">
        <f>AC39</f>
        <v>-</v>
      </c>
      <c r="AK39" s="53">
        <v>45261</v>
      </c>
      <c r="AL39" s="53">
        <v>45679</v>
      </c>
      <c r="AM39" s="761">
        <f>AL39-AK39</f>
        <v>418</v>
      </c>
      <c r="AN39" s="761">
        <f t="shared" si="9"/>
        <v>830</v>
      </c>
      <c r="AO39" s="762" t="s">
        <v>56</v>
      </c>
      <c r="AP39" s="762" t="s">
        <v>58</v>
      </c>
      <c r="AQ39" s="702">
        <v>44616</v>
      </c>
      <c r="AR39" s="762" t="s">
        <v>148</v>
      </c>
      <c r="AS39" s="702">
        <v>44616</v>
      </c>
      <c r="AT39" s="762" t="s">
        <v>149</v>
      </c>
    </row>
    <row r="40" spans="1:46" ht="34" x14ac:dyDescent="0.2">
      <c r="A40" s="636">
        <v>1.2</v>
      </c>
      <c r="B40" s="775" t="s">
        <v>49</v>
      </c>
      <c r="C40" s="3" t="s">
        <v>150</v>
      </c>
      <c r="D40" s="3" t="s">
        <v>151</v>
      </c>
      <c r="E40" s="4">
        <v>96</v>
      </c>
      <c r="F40" s="4">
        <v>86</v>
      </c>
      <c r="G40" s="4">
        <v>96</v>
      </c>
      <c r="H40" s="20">
        <v>1</v>
      </c>
      <c r="I40" s="4">
        <f t="shared" si="16"/>
        <v>459</v>
      </c>
      <c r="J40" s="19">
        <f t="shared" si="17"/>
        <v>459</v>
      </c>
      <c r="K40" s="19">
        <v>6500</v>
      </c>
      <c r="L40" s="4">
        <f>IF(ISERROR(SEARCH("totals", C40)),H40*K40, "")</f>
        <v>6500</v>
      </c>
      <c r="M40" s="20" t="s">
        <v>131</v>
      </c>
      <c r="N40" s="5" t="s">
        <v>45</v>
      </c>
      <c r="O40" s="756" t="s">
        <v>53</v>
      </c>
      <c r="P40" s="760">
        <f t="shared" si="18"/>
        <v>31</v>
      </c>
      <c r="Q40" s="702">
        <v>45474</v>
      </c>
      <c r="R40" s="757">
        <v>45505</v>
      </c>
      <c r="S40" s="772" t="s">
        <v>133</v>
      </c>
      <c r="T40" s="758" t="s">
        <v>92</v>
      </c>
      <c r="U40" s="759" t="s">
        <v>137</v>
      </c>
      <c r="V40" s="741" t="str">
        <f>IF(ISBLANK(AD40),"",IFERROR(LOOKUP(AD40,FY_dates, inter_label),AD40))</f>
        <v>FY25 inter</v>
      </c>
      <c r="W40" s="742" t="s">
        <v>145</v>
      </c>
      <c r="X40" s="759" t="str">
        <f t="shared" si="19"/>
        <v>USAP Air</v>
      </c>
      <c r="Y40" s="320" t="s">
        <v>45</v>
      </c>
      <c r="Z40" s="320" t="s">
        <v>45</v>
      </c>
      <c r="AA40" s="320" t="s">
        <v>45</v>
      </c>
      <c r="AB40" s="320" t="s">
        <v>45</v>
      </c>
      <c r="AC40" s="770">
        <v>1</v>
      </c>
      <c r="AD40" s="702">
        <v>45597</v>
      </c>
      <c r="AE40" s="754" t="str">
        <f t="shared" si="20"/>
        <v>FY25 intra</v>
      </c>
      <c r="AF40" s="363" t="str">
        <f>IFERROR(_xlfn.XLOOKUP(AK40,$B$155:$B$166,$A$155:$A$166),IFERROR(IF(AK40="","",IF(MONTH(AK40)&lt;10,_xlfn.TEXTJOIN("",TRUE,"FY",TEXT(AK40,"YY")," LC-130"),IF(MONTH(AK40)&gt;10,_xlfn.TEXTJOIN("",TRUE,"FY",YEAR(AK40)-2000+1," LC-130")))),AK40))</f>
        <v>FY25 LC-130</v>
      </c>
      <c r="AG40" s="320" t="s">
        <v>45</v>
      </c>
      <c r="AH40" s="320" t="s">
        <v>45</v>
      </c>
      <c r="AI40" s="320" t="s">
        <v>45</v>
      </c>
      <c r="AJ40" s="771">
        <f>AC40</f>
        <v>1</v>
      </c>
      <c r="AK40" s="53">
        <v>45611</v>
      </c>
      <c r="AL40" s="53">
        <v>45611</v>
      </c>
      <c r="AM40" s="761">
        <f>AL40-AK40</f>
        <v>0</v>
      </c>
      <c r="AN40" s="761">
        <f t="shared" si="9"/>
        <v>106</v>
      </c>
      <c r="AO40" s="762" t="s">
        <v>56</v>
      </c>
      <c r="AP40" s="762" t="s">
        <v>57</v>
      </c>
      <c r="AQ40" s="702">
        <v>44477</v>
      </c>
      <c r="AR40" s="762" t="s">
        <v>58</v>
      </c>
      <c r="AS40" s="702">
        <v>44477</v>
      </c>
      <c r="AT40" s="762" t="s">
        <v>152</v>
      </c>
    </row>
    <row r="41" spans="1:46" ht="34" x14ac:dyDescent="0.2">
      <c r="A41" s="636">
        <v>1.2</v>
      </c>
      <c r="B41" s="775" t="s">
        <v>49</v>
      </c>
      <c r="C41" s="3" t="s">
        <v>153</v>
      </c>
      <c r="D41" s="3" t="s">
        <v>154</v>
      </c>
      <c r="E41" s="20">
        <v>96</v>
      </c>
      <c r="F41" s="20">
        <v>48</v>
      </c>
      <c r="G41" s="20">
        <v>48</v>
      </c>
      <c r="H41" s="20">
        <v>1</v>
      </c>
      <c r="I41" s="4">
        <f t="shared" ref="I41:I43" si="25">ROUNDUP(E41*F41*G41/1728,0)</f>
        <v>128</v>
      </c>
      <c r="J41" s="19">
        <f t="shared" ref="J41:J66" si="26">I41*H41</f>
        <v>128</v>
      </c>
      <c r="K41" s="19">
        <v>3000</v>
      </c>
      <c r="L41" s="4">
        <f t="shared" si="21"/>
        <v>3000</v>
      </c>
      <c r="M41" s="776" t="s">
        <v>131</v>
      </c>
      <c r="N41" s="763" t="s">
        <v>132</v>
      </c>
      <c r="O41" s="756" t="s">
        <v>53</v>
      </c>
      <c r="P41" s="760">
        <f t="shared" si="18"/>
        <v>31</v>
      </c>
      <c r="Q41" s="702">
        <v>45474</v>
      </c>
      <c r="R41" s="757">
        <v>45505</v>
      </c>
      <c r="S41" s="772" t="s">
        <v>133</v>
      </c>
      <c r="T41" s="758" t="s">
        <v>92</v>
      </c>
      <c r="U41" s="742" t="s">
        <v>137</v>
      </c>
      <c r="V41" s="741" t="str">
        <f t="shared" ref="V41:V67" si="27">IF(ISBLANK(AD41),"",IFERROR(LOOKUP(AD41,FY_dates, inter_label),AD41))</f>
        <v>FY25 inter</v>
      </c>
      <c r="W41" s="742" t="s">
        <v>155</v>
      </c>
      <c r="X41" s="759" t="str">
        <f t="shared" si="7"/>
        <v>USAP Air</v>
      </c>
      <c r="Y41" s="320" t="s">
        <v>45</v>
      </c>
      <c r="Z41" s="320" t="s">
        <v>45</v>
      </c>
      <c r="AA41" s="320" t="s">
        <v>45</v>
      </c>
      <c r="AB41" s="320" t="s">
        <v>45</v>
      </c>
      <c r="AC41" s="770">
        <v>0.5</v>
      </c>
      <c r="AD41" s="702">
        <v>45597</v>
      </c>
      <c r="AE41" s="754" t="str">
        <f t="shared" si="20"/>
        <v>FY25 intra</v>
      </c>
      <c r="AF41" s="363" t="str">
        <f t="shared" ref="AF41:AF43" si="28">IFERROR(_xlfn.XLOOKUP(AK41,$B$155:$B$166,$A$155:$A$166),IFERROR(IF(AK41="","",IF(MONTH(AK41)&lt;10,_xlfn.TEXTJOIN("",TRUE,"FY",TEXT(AK41,"YY")," LC-130"),IF(MONTH(AK41)&gt;10,_xlfn.TEXTJOIN("",TRUE,"FY",YEAR(AK41)-2000+1," LC-130")))),AK41))</f>
        <v>FY25 LC-130</v>
      </c>
      <c r="AG41" s="320" t="s">
        <v>45</v>
      </c>
      <c r="AH41" s="320" t="s">
        <v>45</v>
      </c>
      <c r="AI41" s="320" t="s">
        <v>45</v>
      </c>
      <c r="AJ41" s="771">
        <f t="shared" si="23"/>
        <v>0.5</v>
      </c>
      <c r="AK41" s="53">
        <v>45611</v>
      </c>
      <c r="AL41" s="53">
        <v>45611</v>
      </c>
      <c r="AM41" s="761">
        <f t="shared" si="24"/>
        <v>0</v>
      </c>
      <c r="AN41" s="761">
        <f t="shared" si="9"/>
        <v>106</v>
      </c>
      <c r="AO41" s="762" t="s">
        <v>56</v>
      </c>
      <c r="AP41" s="762" t="s">
        <v>57</v>
      </c>
      <c r="AQ41" s="702">
        <v>44477</v>
      </c>
      <c r="AR41" s="762" t="s">
        <v>58</v>
      </c>
      <c r="AS41" s="702">
        <v>44477</v>
      </c>
      <c r="AT41" s="762" t="s">
        <v>156</v>
      </c>
    </row>
    <row r="42" spans="1:46" ht="34" x14ac:dyDescent="0.2">
      <c r="A42" s="636">
        <v>1.2</v>
      </c>
      <c r="B42" s="775" t="s">
        <v>49</v>
      </c>
      <c r="C42" s="3" t="s">
        <v>157</v>
      </c>
      <c r="D42" s="3" t="s">
        <v>151</v>
      </c>
      <c r="E42" s="4">
        <v>96</v>
      </c>
      <c r="F42" s="4">
        <v>86</v>
      </c>
      <c r="G42" s="4">
        <v>96</v>
      </c>
      <c r="H42" s="20">
        <v>1</v>
      </c>
      <c r="I42" s="4">
        <f t="shared" si="25"/>
        <v>459</v>
      </c>
      <c r="J42" s="19">
        <f t="shared" ref="J42:J43" si="29">I42*H42</f>
        <v>459</v>
      </c>
      <c r="K42" s="19">
        <v>6500</v>
      </c>
      <c r="L42" s="4">
        <f t="shared" ref="L42:L43" si="30">IF(ISERROR(SEARCH("totals", C42)),H42*K42, "")</f>
        <v>6500</v>
      </c>
      <c r="M42" s="20" t="s">
        <v>131</v>
      </c>
      <c r="N42" s="5" t="s">
        <v>45</v>
      </c>
      <c r="O42" s="756" t="s">
        <v>53</v>
      </c>
      <c r="P42" s="760">
        <f t="shared" si="18"/>
        <v>31</v>
      </c>
      <c r="Q42" s="702">
        <v>45839</v>
      </c>
      <c r="R42" s="757">
        <v>45870</v>
      </c>
      <c r="S42" s="772" t="s">
        <v>133</v>
      </c>
      <c r="T42" s="758" t="s">
        <v>92</v>
      </c>
      <c r="U42" s="759" t="s">
        <v>137</v>
      </c>
      <c r="V42" s="741" t="str">
        <f t="shared" ref="V42:V43" si="31">IF(ISBLANK(AD42),"",IFERROR(LOOKUP(AD42,FY_dates, inter_label),AD42))</f>
        <v>FY26 inter</v>
      </c>
      <c r="W42" s="742" t="s">
        <v>158</v>
      </c>
      <c r="X42" s="759" t="str">
        <f t="shared" ref="X42:X43" si="32">IF(ISNUMBER(SEARCH("Vessel",W42)),"USAP Vessel",IF(ISNUMBER(SEARCH("Comsur",W42)),"USAP Air",W42))</f>
        <v>USAP Air</v>
      </c>
      <c r="Y42" s="320" t="s">
        <v>45</v>
      </c>
      <c r="Z42" s="320" t="s">
        <v>45</v>
      </c>
      <c r="AA42" s="320" t="s">
        <v>45</v>
      </c>
      <c r="AB42" s="320" t="s">
        <v>45</v>
      </c>
      <c r="AC42" s="770">
        <v>1</v>
      </c>
      <c r="AD42" s="702">
        <v>45962</v>
      </c>
      <c r="AE42" s="754" t="str">
        <f t="shared" ref="AE42" si="33">IF(ISBLANK(AK42),"",IFERROR(LOOKUP(AK42,FY_dates, intra_label),AK42))</f>
        <v>FY26 intra</v>
      </c>
      <c r="AF42" s="363" t="str">
        <f t="shared" si="28"/>
        <v>FY26 LC-130</v>
      </c>
      <c r="AG42" s="320" t="s">
        <v>45</v>
      </c>
      <c r="AH42" s="320" t="s">
        <v>45</v>
      </c>
      <c r="AI42" s="320" t="s">
        <v>45</v>
      </c>
      <c r="AJ42" s="771">
        <f t="shared" ref="AJ42:AJ43" si="34">AC42</f>
        <v>1</v>
      </c>
      <c r="AK42" s="53">
        <v>45976</v>
      </c>
      <c r="AL42" s="53">
        <v>45976</v>
      </c>
      <c r="AM42" s="761">
        <f t="shared" ref="AM42:AM43" si="35">AL42-AK42</f>
        <v>0</v>
      </c>
      <c r="AN42" s="761">
        <f t="shared" si="9"/>
        <v>106</v>
      </c>
      <c r="AO42" s="762" t="s">
        <v>56</v>
      </c>
      <c r="AP42" s="762" t="s">
        <v>57</v>
      </c>
      <c r="AQ42" s="702">
        <v>44477</v>
      </c>
      <c r="AR42" s="762" t="s">
        <v>58</v>
      </c>
      <c r="AS42" s="702">
        <v>44477</v>
      </c>
      <c r="AT42" s="762" t="s">
        <v>152</v>
      </c>
    </row>
    <row r="43" spans="1:46" ht="34" x14ac:dyDescent="0.2">
      <c r="A43" s="636">
        <v>1.2</v>
      </c>
      <c r="B43" s="775" t="s">
        <v>49</v>
      </c>
      <c r="C43" s="3" t="s">
        <v>159</v>
      </c>
      <c r="D43" s="3" t="s">
        <v>154</v>
      </c>
      <c r="E43" s="20">
        <v>96</v>
      </c>
      <c r="F43" s="20">
        <v>48</v>
      </c>
      <c r="G43" s="20">
        <v>48</v>
      </c>
      <c r="H43" s="20">
        <v>1</v>
      </c>
      <c r="I43" s="4">
        <f t="shared" si="25"/>
        <v>128</v>
      </c>
      <c r="J43" s="19">
        <f t="shared" si="29"/>
        <v>128</v>
      </c>
      <c r="K43" s="19">
        <v>3000</v>
      </c>
      <c r="L43" s="4">
        <f t="shared" si="30"/>
        <v>3000</v>
      </c>
      <c r="M43" s="776" t="s">
        <v>131</v>
      </c>
      <c r="N43" s="763" t="s">
        <v>132</v>
      </c>
      <c r="O43" s="756" t="s">
        <v>53</v>
      </c>
      <c r="P43" s="760">
        <f t="shared" si="18"/>
        <v>31</v>
      </c>
      <c r="Q43" s="702">
        <v>45839</v>
      </c>
      <c r="R43" s="757">
        <v>45870</v>
      </c>
      <c r="S43" s="772" t="s">
        <v>133</v>
      </c>
      <c r="T43" s="758" t="s">
        <v>92</v>
      </c>
      <c r="U43" s="742" t="s">
        <v>137</v>
      </c>
      <c r="V43" s="741" t="str">
        <f t="shared" si="31"/>
        <v>FY26 inter</v>
      </c>
      <c r="W43" s="742" t="s">
        <v>160</v>
      </c>
      <c r="X43" s="759" t="str">
        <f t="shared" si="32"/>
        <v>USAP Air</v>
      </c>
      <c r="Y43" s="320" t="s">
        <v>45</v>
      </c>
      <c r="Z43" s="320" t="s">
        <v>45</v>
      </c>
      <c r="AA43" s="320" t="s">
        <v>45</v>
      </c>
      <c r="AB43" s="320" t="s">
        <v>45</v>
      </c>
      <c r="AC43" s="770">
        <v>0.5</v>
      </c>
      <c r="AD43" s="702">
        <v>45962</v>
      </c>
      <c r="AE43" s="754" t="str">
        <f>IF(ISBLANK(AK43),"",IFERROR(LOOKUP(AK43,FY_dates, intra_label),AK43))</f>
        <v>FY26 intra</v>
      </c>
      <c r="AF43" s="363" t="str">
        <f t="shared" si="28"/>
        <v>FY26 LC-130</v>
      </c>
      <c r="AG43" s="320" t="s">
        <v>45</v>
      </c>
      <c r="AH43" s="320" t="s">
        <v>45</v>
      </c>
      <c r="AI43" s="320" t="s">
        <v>45</v>
      </c>
      <c r="AJ43" s="771">
        <f t="shared" si="34"/>
        <v>0.5</v>
      </c>
      <c r="AK43" s="53">
        <v>45976</v>
      </c>
      <c r="AL43" s="53">
        <v>45976</v>
      </c>
      <c r="AM43" s="761">
        <f t="shared" si="35"/>
        <v>0</v>
      </c>
      <c r="AN43" s="761">
        <f t="shared" si="9"/>
        <v>106</v>
      </c>
      <c r="AO43" s="762" t="s">
        <v>56</v>
      </c>
      <c r="AP43" s="762" t="s">
        <v>57</v>
      </c>
      <c r="AQ43" s="702">
        <v>44477</v>
      </c>
      <c r="AR43" s="762" t="s">
        <v>58</v>
      </c>
      <c r="AS43" s="702">
        <v>44477</v>
      </c>
      <c r="AT43" s="762" t="s">
        <v>156</v>
      </c>
    </row>
    <row r="44" spans="1:46" ht="34" x14ac:dyDescent="0.2">
      <c r="A44" s="636">
        <v>1.2</v>
      </c>
      <c r="B44" s="775" t="s">
        <v>49</v>
      </c>
      <c r="C44" s="15" t="s">
        <v>161</v>
      </c>
      <c r="D44" s="31" t="s">
        <v>162</v>
      </c>
      <c r="E44" s="20">
        <v>192</v>
      </c>
      <c r="F44" s="20">
        <v>24</v>
      </c>
      <c r="G44" s="20">
        <v>24</v>
      </c>
      <c r="H44" s="20">
        <v>1</v>
      </c>
      <c r="I44" s="4">
        <f t="shared" ref="I44:I66" si="36">ROUNDUP(E44*F44*G44/1728,0)</f>
        <v>64</v>
      </c>
      <c r="J44" s="19">
        <f t="shared" si="26"/>
        <v>64</v>
      </c>
      <c r="K44" s="19">
        <v>1060</v>
      </c>
      <c r="L44" s="4">
        <f t="shared" si="21"/>
        <v>1060</v>
      </c>
      <c r="M44" s="776" t="s">
        <v>52</v>
      </c>
      <c r="N44" s="763" t="s">
        <v>132</v>
      </c>
      <c r="O44" s="756" t="s">
        <v>53</v>
      </c>
      <c r="P44" s="760">
        <f t="shared" si="18"/>
        <v>409</v>
      </c>
      <c r="Q44" s="708">
        <v>44440</v>
      </c>
      <c r="R44" s="757">
        <v>44849</v>
      </c>
      <c r="S44" s="772" t="s">
        <v>133</v>
      </c>
      <c r="T44" s="758" t="s">
        <v>92</v>
      </c>
      <c r="U44" s="742" t="s">
        <v>134</v>
      </c>
      <c r="V44" s="741" t="str">
        <f t="shared" si="27"/>
        <v>FY23 inter</v>
      </c>
      <c r="W44" s="742" t="s">
        <v>62</v>
      </c>
      <c r="X44" s="759" t="str">
        <f t="shared" si="7"/>
        <v>USAP Vessel</v>
      </c>
      <c r="Y44" s="320" t="s">
        <v>45</v>
      </c>
      <c r="Z44" s="320" t="s">
        <v>45</v>
      </c>
      <c r="AA44" s="322">
        <v>0.25</v>
      </c>
      <c r="AB44" s="320" t="s">
        <v>45</v>
      </c>
      <c r="AC44" s="320" t="s">
        <v>45</v>
      </c>
      <c r="AD44" s="709">
        <v>44963</v>
      </c>
      <c r="AE44" s="754" t="str">
        <f>IF(ISBLANK(AK44),"",IFERROR(LOOKUP(AK44,FY_dates, intra_label),AK44))</f>
        <v>FY24 intra</v>
      </c>
      <c r="AF44" s="363" t="str">
        <f>IFERROR(_xlfn.XLOOKUP(AK44,$B$155:$B$166,$A$155:$A$166),IFERROR(IF(AK44="","",IF(MONTH(AK44)&lt;10,_xlfn.TEXTJOIN("",TRUE,"FY",TEXT(AK44,"YY")," LC-130"),IF(MONTH(AK44)&gt;10,_xlfn.TEXTJOIN("",TRUE,"FY",YEAR(AK44)-2000+1," LC-130")))),AK44))</f>
        <v>FY24 LC-130</v>
      </c>
      <c r="AG44" s="320" t="s">
        <v>45</v>
      </c>
      <c r="AH44" s="320" t="s">
        <v>45</v>
      </c>
      <c r="AI44" s="320" t="s">
        <v>45</v>
      </c>
      <c r="AJ44" s="771">
        <v>0.3</v>
      </c>
      <c r="AK44" s="53">
        <v>45328</v>
      </c>
      <c r="AL44" s="256">
        <v>45976</v>
      </c>
      <c r="AM44" s="761">
        <f t="shared" si="24"/>
        <v>648</v>
      </c>
      <c r="AN44" s="761">
        <f t="shared" si="9"/>
        <v>1127</v>
      </c>
      <c r="AO44" s="762" t="s">
        <v>56</v>
      </c>
      <c r="AP44" s="762" t="s">
        <v>57</v>
      </c>
      <c r="AQ44" s="702">
        <v>44477</v>
      </c>
      <c r="AR44" s="762" t="s">
        <v>58</v>
      </c>
      <c r="AS44" s="702">
        <v>44477</v>
      </c>
      <c r="AT44" s="762" t="s">
        <v>163</v>
      </c>
    </row>
    <row r="45" spans="1:46" ht="34" x14ac:dyDescent="0.2">
      <c r="A45" s="636">
        <v>1.2</v>
      </c>
      <c r="B45" s="775" t="s">
        <v>49</v>
      </c>
      <c r="C45" s="15" t="s">
        <v>164</v>
      </c>
      <c r="D45" s="31" t="s">
        <v>162</v>
      </c>
      <c r="E45" s="20">
        <v>192</v>
      </c>
      <c r="F45" s="20">
        <v>24</v>
      </c>
      <c r="G45" s="20">
        <v>24</v>
      </c>
      <c r="H45" s="20">
        <v>1</v>
      </c>
      <c r="I45" s="4">
        <f>ROUNDUP(E45*F45*G45/1728,0)</f>
        <v>64</v>
      </c>
      <c r="J45" s="19">
        <f t="shared" si="26"/>
        <v>64</v>
      </c>
      <c r="K45" s="19">
        <v>1060</v>
      </c>
      <c r="L45" s="4">
        <f t="shared" si="21"/>
        <v>1060</v>
      </c>
      <c r="M45" s="776" t="s">
        <v>52</v>
      </c>
      <c r="N45" s="763" t="s">
        <v>132</v>
      </c>
      <c r="O45" s="756" t="s">
        <v>53</v>
      </c>
      <c r="P45" s="760">
        <f t="shared" si="18"/>
        <v>409</v>
      </c>
      <c r="Q45" s="708">
        <v>44440</v>
      </c>
      <c r="R45" s="757">
        <v>44849</v>
      </c>
      <c r="S45" s="772" t="s">
        <v>133</v>
      </c>
      <c r="T45" s="758" t="s">
        <v>92</v>
      </c>
      <c r="U45" s="742" t="s">
        <v>134</v>
      </c>
      <c r="V45" s="741" t="str">
        <f t="shared" si="27"/>
        <v>FY23 inter</v>
      </c>
      <c r="W45" s="742" t="s">
        <v>62</v>
      </c>
      <c r="X45" s="759" t="str">
        <f t="shared" si="7"/>
        <v>USAP Vessel</v>
      </c>
      <c r="Y45" s="321" t="s">
        <v>45</v>
      </c>
      <c r="Z45" s="320" t="s">
        <v>45</v>
      </c>
      <c r="AA45" s="322">
        <v>0.25</v>
      </c>
      <c r="AB45" s="320" t="s">
        <v>45</v>
      </c>
      <c r="AC45" s="320" t="s">
        <v>45</v>
      </c>
      <c r="AD45" s="709">
        <v>44963</v>
      </c>
      <c r="AE45" s="754" t="str">
        <f>IF(ISBLANK(AK45),"",IFERROR(LOOKUP(AK45,FY_dates, intra_label),AK45))</f>
        <v>FY24 intra</v>
      </c>
      <c r="AF45" s="363" t="str">
        <f t="shared" ref="AF45:AF46" si="37">IFERROR(_xlfn.XLOOKUP(AK45,$B$155:$B$166,$A$155:$A$166),IFERROR(IF(AK45="","",IF(MONTH(AK45)&lt;10,_xlfn.TEXTJOIN("",TRUE,"FY",TEXT(AK45,"YY")," LC-130"),IF(MONTH(AK45)&gt;10,_xlfn.TEXTJOIN("",TRUE,"FY",YEAR(AK45)-2000+1," LC-130")))),AK45))</f>
        <v>FY24 LC-130</v>
      </c>
      <c r="AG45" s="320" t="s">
        <v>45</v>
      </c>
      <c r="AH45" s="320" t="s">
        <v>45</v>
      </c>
      <c r="AI45" s="320" t="s">
        <v>45</v>
      </c>
      <c r="AJ45" s="771">
        <v>0.3</v>
      </c>
      <c r="AK45" s="53">
        <v>45328</v>
      </c>
      <c r="AL45" s="256">
        <v>45976</v>
      </c>
      <c r="AM45" s="761">
        <f t="shared" si="24"/>
        <v>648</v>
      </c>
      <c r="AN45" s="761">
        <f t="shared" si="9"/>
        <v>1127</v>
      </c>
      <c r="AO45" s="762" t="s">
        <v>56</v>
      </c>
      <c r="AP45" s="762" t="s">
        <v>57</v>
      </c>
      <c r="AQ45" s="702">
        <v>44477</v>
      </c>
      <c r="AR45" s="762" t="s">
        <v>58</v>
      </c>
      <c r="AS45" s="702">
        <v>44477</v>
      </c>
      <c r="AT45" s="762" t="s">
        <v>45</v>
      </c>
    </row>
    <row r="46" spans="1:46" ht="34" x14ac:dyDescent="0.2">
      <c r="A46" s="636">
        <v>1.2</v>
      </c>
      <c r="B46" s="775" t="s">
        <v>49</v>
      </c>
      <c r="C46" s="15" t="s">
        <v>165</v>
      </c>
      <c r="D46" s="31" t="s">
        <v>166</v>
      </c>
      <c r="E46" s="20">
        <v>192</v>
      </c>
      <c r="F46" s="20">
        <v>24</v>
      </c>
      <c r="G46" s="20">
        <v>24</v>
      </c>
      <c r="H46" s="20">
        <v>1</v>
      </c>
      <c r="I46" s="4">
        <f>ROUNDUP(E46*F46*G46/1728,0)</f>
        <v>64</v>
      </c>
      <c r="J46" s="19">
        <f t="shared" si="26"/>
        <v>64</v>
      </c>
      <c r="K46" s="19">
        <v>1060</v>
      </c>
      <c r="L46" s="4">
        <f t="shared" si="21"/>
        <v>1060</v>
      </c>
      <c r="M46" s="776" t="s">
        <v>52</v>
      </c>
      <c r="N46" s="763" t="s">
        <v>132</v>
      </c>
      <c r="O46" s="756" t="s">
        <v>53</v>
      </c>
      <c r="P46" s="760">
        <f t="shared" si="18"/>
        <v>409</v>
      </c>
      <c r="Q46" s="708">
        <v>44440</v>
      </c>
      <c r="R46" s="757">
        <v>44849</v>
      </c>
      <c r="S46" s="772" t="s">
        <v>133</v>
      </c>
      <c r="T46" s="758" t="s">
        <v>92</v>
      </c>
      <c r="U46" s="742" t="s">
        <v>134</v>
      </c>
      <c r="V46" s="741" t="str">
        <f t="shared" si="27"/>
        <v>FY23 inter</v>
      </c>
      <c r="W46" s="742" t="s">
        <v>62</v>
      </c>
      <c r="X46" s="759" t="str">
        <f t="shared" si="7"/>
        <v>USAP Vessel</v>
      </c>
      <c r="Y46" s="321" t="s">
        <v>45</v>
      </c>
      <c r="Z46" s="320" t="s">
        <v>45</v>
      </c>
      <c r="AA46" s="322">
        <v>0.25</v>
      </c>
      <c r="AB46" s="320" t="s">
        <v>45</v>
      </c>
      <c r="AC46" s="320" t="s">
        <v>45</v>
      </c>
      <c r="AD46" s="709">
        <v>44963</v>
      </c>
      <c r="AE46" s="754" t="str">
        <f>IF(ISBLANK(AK46),"",IFERROR(LOOKUP(AK46,FY_dates, intra_label),AK46))</f>
        <v>FY24 intra</v>
      </c>
      <c r="AF46" s="363" t="str">
        <f t="shared" si="37"/>
        <v>FY24 LC-130</v>
      </c>
      <c r="AG46" s="320" t="s">
        <v>45</v>
      </c>
      <c r="AH46" s="320" t="s">
        <v>45</v>
      </c>
      <c r="AI46" s="320" t="s">
        <v>45</v>
      </c>
      <c r="AJ46" s="771">
        <v>0.3</v>
      </c>
      <c r="AK46" s="53">
        <v>45328</v>
      </c>
      <c r="AL46" s="256">
        <v>45976</v>
      </c>
      <c r="AM46" s="761">
        <f t="shared" si="24"/>
        <v>648</v>
      </c>
      <c r="AN46" s="761">
        <f t="shared" si="9"/>
        <v>1127</v>
      </c>
      <c r="AO46" s="762" t="s">
        <v>56</v>
      </c>
      <c r="AP46" s="762" t="s">
        <v>57</v>
      </c>
      <c r="AQ46" s="702">
        <v>44477</v>
      </c>
      <c r="AR46" s="762" t="s">
        <v>58</v>
      </c>
      <c r="AS46" s="702">
        <v>44477</v>
      </c>
      <c r="AT46" s="762" t="s">
        <v>45</v>
      </c>
    </row>
    <row r="47" spans="1:46" ht="34" x14ac:dyDescent="0.2">
      <c r="A47" s="636">
        <v>1.2</v>
      </c>
      <c r="B47" s="37" t="s">
        <v>49</v>
      </c>
      <c r="C47" s="3" t="s">
        <v>661</v>
      </c>
      <c r="D47" s="3" t="s">
        <v>167</v>
      </c>
      <c r="E47" s="4">
        <v>84</v>
      </c>
      <c r="F47" s="4">
        <v>60</v>
      </c>
      <c r="G47" s="4">
        <v>48</v>
      </c>
      <c r="H47" s="20">
        <v>1</v>
      </c>
      <c r="I47" s="4">
        <f>ROUNDUP(E47*F47*G47/1728,0)</f>
        <v>140</v>
      </c>
      <c r="J47" s="19">
        <f>I47*H47</f>
        <v>140</v>
      </c>
      <c r="K47" s="19">
        <v>3800</v>
      </c>
      <c r="L47" s="4">
        <f t="shared" ref="L47:L52" si="38">IF(ISERROR(SEARCH("totals", C47)),H47*K47, "")</f>
        <v>3800</v>
      </c>
      <c r="M47" s="20" t="s">
        <v>131</v>
      </c>
      <c r="N47" s="767" t="s">
        <v>45</v>
      </c>
      <c r="O47" s="756" t="s">
        <v>53</v>
      </c>
      <c r="P47" s="760">
        <f t="shared" si="18"/>
        <v>136</v>
      </c>
      <c r="Q47" s="702">
        <v>45078</v>
      </c>
      <c r="R47" s="757">
        <v>45214</v>
      </c>
      <c r="S47" s="772" t="s">
        <v>133</v>
      </c>
      <c r="T47" s="758" t="s">
        <v>92</v>
      </c>
      <c r="U47" s="759" t="s">
        <v>134</v>
      </c>
      <c r="V47" s="741" t="str">
        <f>IF(ISBLANK(AD47),"",IFERROR(LOOKUP(AD47,FY_dates, inter_label),AD47))</f>
        <v>FY24 inter</v>
      </c>
      <c r="W47" s="742" t="s">
        <v>168</v>
      </c>
      <c r="X47" s="759" t="str">
        <f>IF(ISNUMBER(SEARCH("Vessel",W47)),"USAP Vessel",IF(ISNUMBER(SEARCH("Comsur",W47)),"USAP Air",W47))</f>
        <v>USAP Vessel</v>
      </c>
      <c r="Y47" s="320" t="s">
        <v>45</v>
      </c>
      <c r="Z47" s="320" t="s">
        <v>45</v>
      </c>
      <c r="AA47" s="320" t="s">
        <v>45</v>
      </c>
      <c r="AB47" s="320">
        <v>0.25</v>
      </c>
      <c r="AC47" s="320" t="s">
        <v>45</v>
      </c>
      <c r="AD47" s="702">
        <v>45328</v>
      </c>
      <c r="AE47" s="754" t="str">
        <f>IF(ISBLANK(AK47),"",IFERROR(LOOKUP(AK47,FY_dates, intra_label),AK47))</f>
        <v>FY25 intra</v>
      </c>
      <c r="AF47" s="363" t="str">
        <f>IFERROR(_xlfn.XLOOKUP(AK47,$B$155:$B$166,$A$155:$A$166),IFERROR(IF(AK47="","",IF(MONTH(AK47)&lt;10,_xlfn.TEXTJOIN("",TRUE,"FY",TEXT(AK47,"YY")," LC-130"),IF(MONTH(AK47)&gt;10,_xlfn.TEXTJOIN("",TRUE,"FY",YEAR(AK47)-2000+1," LC-130")))),AK47))</f>
        <v>FY25 SPOT 2</v>
      </c>
      <c r="AG47" s="320" t="s">
        <v>45</v>
      </c>
      <c r="AH47" s="320">
        <v>0.25</v>
      </c>
      <c r="AI47" s="320" t="s">
        <v>45</v>
      </c>
      <c r="AJ47" s="771" t="str">
        <f>AC47</f>
        <v>-</v>
      </c>
      <c r="AK47" s="53">
        <v>45658</v>
      </c>
      <c r="AL47" s="53">
        <v>45809</v>
      </c>
      <c r="AM47" s="761">
        <f>AL47-AK47</f>
        <v>151</v>
      </c>
      <c r="AN47" s="761">
        <f t="shared" si="9"/>
        <v>595</v>
      </c>
      <c r="AO47" s="762" t="s">
        <v>56</v>
      </c>
      <c r="AP47" s="762" t="s">
        <v>57</v>
      </c>
      <c r="AQ47" s="702">
        <v>44477</v>
      </c>
      <c r="AR47" s="762" t="s">
        <v>58</v>
      </c>
      <c r="AS47" s="702">
        <v>44477</v>
      </c>
      <c r="AT47" s="762" t="s">
        <v>169</v>
      </c>
    </row>
    <row r="48" spans="1:46" ht="17" x14ac:dyDescent="0.2">
      <c r="A48" s="704">
        <v>1.2</v>
      </c>
      <c r="B48" s="39" t="s">
        <v>170</v>
      </c>
      <c r="C48" s="18" t="s">
        <v>171</v>
      </c>
      <c r="D48" s="17" t="s">
        <v>172</v>
      </c>
      <c r="E48" s="28">
        <v>12</v>
      </c>
      <c r="F48" s="28">
        <v>12</v>
      </c>
      <c r="G48" s="28">
        <v>12</v>
      </c>
      <c r="H48" s="20">
        <v>1</v>
      </c>
      <c r="I48" s="4">
        <f>ROUNDUP(E48*F48*G48/1728,0)</f>
        <v>1</v>
      </c>
      <c r="J48" s="19">
        <f>I48*H48</f>
        <v>1</v>
      </c>
      <c r="K48" s="19">
        <v>5</v>
      </c>
      <c r="L48" s="4">
        <f t="shared" si="38"/>
        <v>5</v>
      </c>
      <c r="M48" s="28" t="s">
        <v>131</v>
      </c>
      <c r="N48" s="7" t="s">
        <v>45</v>
      </c>
      <c r="O48" s="756" t="s">
        <v>53</v>
      </c>
      <c r="P48" s="760">
        <f t="shared" si="18"/>
        <v>62</v>
      </c>
      <c r="Q48" s="702">
        <v>44743</v>
      </c>
      <c r="R48" s="757">
        <v>44805</v>
      </c>
      <c r="S48" s="65" t="s">
        <v>133</v>
      </c>
      <c r="T48" s="758" t="s">
        <v>92</v>
      </c>
      <c r="U48" s="759" t="s">
        <v>137</v>
      </c>
      <c r="V48" s="741" t="s">
        <v>173</v>
      </c>
      <c r="W48" s="742" t="s">
        <v>174</v>
      </c>
      <c r="X48" s="759" t="str">
        <f t="shared" si="7"/>
        <v>USAP Air</v>
      </c>
      <c r="Y48" s="320" t="s">
        <v>45</v>
      </c>
      <c r="Z48" s="320" t="s">
        <v>45</v>
      </c>
      <c r="AA48" s="320" t="s">
        <v>45</v>
      </c>
      <c r="AB48" s="320" t="s">
        <v>45</v>
      </c>
      <c r="AC48" s="770">
        <v>0.01</v>
      </c>
      <c r="AD48" s="702">
        <v>44852</v>
      </c>
      <c r="AE48" s="754" t="s">
        <v>175</v>
      </c>
      <c r="AF48" s="363" t="str">
        <f t="shared" ref="AF48:AF97" si="39">IFERROR(_xlfn.XLOOKUP(AK48,$B$155:$B$166,$A$155:$A$166),IFERROR(IF(AK48="","",IF(MONTH(AK48)&lt;10,_xlfn.TEXTJOIN("",TRUE,"FY",TEXT(AK48,"YY")," LC-130"),IF(MONTH(AK48)&gt;10,_xlfn.TEXTJOIN("",TRUE,"FY",YEAR(AK48)-2000+1," LC-130")))),AK48))</f>
        <v>FY23 SPOT 1</v>
      </c>
      <c r="AG48" s="320" t="s">
        <v>45</v>
      </c>
      <c r="AH48" s="320" t="s">
        <v>45</v>
      </c>
      <c r="AI48" s="320" t="s">
        <v>45</v>
      </c>
      <c r="AJ48" s="771">
        <v>0.01</v>
      </c>
      <c r="AK48" s="53">
        <v>44896</v>
      </c>
      <c r="AL48" s="53">
        <v>44896</v>
      </c>
      <c r="AM48" s="761">
        <f t="shared" si="24"/>
        <v>0</v>
      </c>
      <c r="AN48" s="761">
        <f t="shared" si="9"/>
        <v>91</v>
      </c>
      <c r="AO48" s="762" t="s">
        <v>56</v>
      </c>
      <c r="AP48" s="762" t="s">
        <v>58</v>
      </c>
      <c r="AQ48" s="702">
        <v>44620</v>
      </c>
      <c r="AR48" s="762" t="s">
        <v>148</v>
      </c>
      <c r="AS48" s="702">
        <v>44620</v>
      </c>
      <c r="AT48" s="762" t="s">
        <v>45</v>
      </c>
    </row>
    <row r="49" spans="1:46" ht="17" x14ac:dyDescent="0.2">
      <c r="A49" s="704">
        <v>1.2</v>
      </c>
      <c r="B49" s="39" t="s">
        <v>170</v>
      </c>
      <c r="C49" s="18" t="s">
        <v>176</v>
      </c>
      <c r="D49" s="17" t="s">
        <v>172</v>
      </c>
      <c r="E49" s="28">
        <v>12</v>
      </c>
      <c r="F49" s="28">
        <v>12</v>
      </c>
      <c r="G49" s="28">
        <v>12</v>
      </c>
      <c r="H49" s="20">
        <v>1</v>
      </c>
      <c r="I49" s="4">
        <f>ROUNDUP(E49*F49*G49/1728,0)</f>
        <v>1</v>
      </c>
      <c r="J49" s="19">
        <f>I49*H49</f>
        <v>1</v>
      </c>
      <c r="K49" s="19">
        <v>5</v>
      </c>
      <c r="L49" s="4">
        <f t="shared" si="38"/>
        <v>5</v>
      </c>
      <c r="M49" s="28" t="s">
        <v>131</v>
      </c>
      <c r="N49" s="7" t="s">
        <v>45</v>
      </c>
      <c r="O49" s="756" t="s">
        <v>53</v>
      </c>
      <c r="P49" s="760">
        <f t="shared" si="18"/>
        <v>62</v>
      </c>
      <c r="Q49" s="702">
        <v>44743</v>
      </c>
      <c r="R49" s="757">
        <v>44805</v>
      </c>
      <c r="S49" s="65" t="s">
        <v>133</v>
      </c>
      <c r="T49" s="758" t="s">
        <v>92</v>
      </c>
      <c r="U49" s="759" t="s">
        <v>137</v>
      </c>
      <c r="V49" s="741" t="s">
        <v>173</v>
      </c>
      <c r="W49" s="742" t="s">
        <v>174</v>
      </c>
      <c r="X49" s="759" t="str">
        <f t="shared" ref="X49" si="40">IF(ISNUMBER(SEARCH("Vessel",W49)),"USAP Vessel",IF(ISNUMBER(SEARCH("Comsur",W49)),"USAP Air",W49))</f>
        <v>USAP Air</v>
      </c>
      <c r="Y49" s="320" t="s">
        <v>45</v>
      </c>
      <c r="Z49" s="320" t="s">
        <v>45</v>
      </c>
      <c r="AA49" s="320" t="s">
        <v>45</v>
      </c>
      <c r="AB49" s="320" t="s">
        <v>45</v>
      </c>
      <c r="AC49" s="770">
        <v>0.01</v>
      </c>
      <c r="AD49" s="702">
        <v>44852</v>
      </c>
      <c r="AE49" s="754" t="s">
        <v>175</v>
      </c>
      <c r="AF49" s="363" t="str">
        <f t="shared" si="39"/>
        <v>FY23 SPOT 2</v>
      </c>
      <c r="AG49" s="320" t="s">
        <v>45</v>
      </c>
      <c r="AH49" s="320" t="s">
        <v>45</v>
      </c>
      <c r="AI49" s="320" t="s">
        <v>45</v>
      </c>
      <c r="AJ49" s="771">
        <v>0.01</v>
      </c>
      <c r="AK49" s="53">
        <v>44927</v>
      </c>
      <c r="AL49" s="53">
        <v>44927</v>
      </c>
      <c r="AM49" s="761">
        <f t="shared" ref="AM49" si="41">AL49-AK49</f>
        <v>0</v>
      </c>
      <c r="AN49" s="761">
        <f t="shared" si="9"/>
        <v>122</v>
      </c>
      <c r="AO49" s="762" t="s">
        <v>56</v>
      </c>
      <c r="AP49" s="762" t="s">
        <v>58</v>
      </c>
      <c r="AQ49" s="702">
        <v>44620</v>
      </c>
      <c r="AR49" s="762" t="s">
        <v>148</v>
      </c>
      <c r="AS49" s="702">
        <v>44620</v>
      </c>
      <c r="AT49" s="762" t="s">
        <v>45</v>
      </c>
    </row>
    <row r="50" spans="1:46" ht="51" x14ac:dyDescent="0.2">
      <c r="A50" s="704">
        <v>1.4</v>
      </c>
      <c r="B50" s="39" t="s">
        <v>177</v>
      </c>
      <c r="C50" s="18" t="s">
        <v>178</v>
      </c>
      <c r="D50" s="17" t="s">
        <v>179</v>
      </c>
      <c r="E50" s="28">
        <v>96</v>
      </c>
      <c r="F50" s="28">
        <v>48</v>
      </c>
      <c r="G50" s="28">
        <v>48</v>
      </c>
      <c r="H50" s="20">
        <v>1</v>
      </c>
      <c r="I50" s="4">
        <f t="shared" si="36"/>
        <v>128</v>
      </c>
      <c r="J50" s="19">
        <f t="shared" si="26"/>
        <v>128</v>
      </c>
      <c r="K50" s="19">
        <v>600</v>
      </c>
      <c r="L50" s="4">
        <f t="shared" si="38"/>
        <v>600</v>
      </c>
      <c r="M50" s="28" t="s">
        <v>131</v>
      </c>
      <c r="N50" s="7" t="s">
        <v>132</v>
      </c>
      <c r="O50" s="756" t="s">
        <v>53</v>
      </c>
      <c r="P50" s="760">
        <f t="shared" si="18"/>
        <v>462</v>
      </c>
      <c r="Q50" s="702">
        <v>45043</v>
      </c>
      <c r="R50" s="757">
        <v>45505</v>
      </c>
      <c r="S50" s="65" t="s">
        <v>133</v>
      </c>
      <c r="T50" s="758" t="s">
        <v>92</v>
      </c>
      <c r="U50" s="759" t="s">
        <v>137</v>
      </c>
      <c r="V50" s="741" t="str">
        <f t="shared" si="27"/>
        <v>FY25 inter</v>
      </c>
      <c r="W50" s="742" t="s">
        <v>145</v>
      </c>
      <c r="X50" s="759" t="str">
        <f t="shared" si="7"/>
        <v>USAP Air</v>
      </c>
      <c r="Y50" s="320" t="s">
        <v>45</v>
      </c>
      <c r="Z50" s="320" t="s">
        <v>45</v>
      </c>
      <c r="AA50" s="320" t="s">
        <v>45</v>
      </c>
      <c r="AB50" s="320" t="s">
        <v>45</v>
      </c>
      <c r="AC50" s="770">
        <v>0.25</v>
      </c>
      <c r="AD50" s="702">
        <v>45597</v>
      </c>
      <c r="AE50" s="754" t="str">
        <f t="shared" ref="AE50:AE66" si="42">IF(ISBLANK(AK50),"",IFERROR(LOOKUP(AK50,FY_dates, intra_label),AK50))</f>
        <v>FY25 intra</v>
      </c>
      <c r="AF50" s="363" t="str">
        <f t="shared" si="39"/>
        <v>FY25 LC-130</v>
      </c>
      <c r="AG50" s="320" t="s">
        <v>45</v>
      </c>
      <c r="AH50" s="320" t="s">
        <v>45</v>
      </c>
      <c r="AI50" s="320" t="s">
        <v>45</v>
      </c>
      <c r="AJ50" s="771">
        <f t="shared" ref="AJ50:AJ66" si="43">AC50</f>
        <v>0.25</v>
      </c>
      <c r="AK50" s="53">
        <v>45626</v>
      </c>
      <c r="AL50" s="53">
        <v>45627</v>
      </c>
      <c r="AM50" s="761">
        <f t="shared" si="24"/>
        <v>1</v>
      </c>
      <c r="AN50" s="761">
        <f t="shared" si="9"/>
        <v>122</v>
      </c>
      <c r="AO50" s="762" t="s">
        <v>56</v>
      </c>
      <c r="AP50" s="762" t="s">
        <v>180</v>
      </c>
      <c r="AQ50" s="702">
        <v>44481</v>
      </c>
      <c r="AR50" s="762" t="s">
        <v>148</v>
      </c>
      <c r="AS50" s="702">
        <v>44662</v>
      </c>
      <c r="AT50" s="762" t="s">
        <v>45</v>
      </c>
    </row>
    <row r="51" spans="1:46" ht="51" x14ac:dyDescent="0.2">
      <c r="A51" s="704">
        <v>1.4</v>
      </c>
      <c r="B51" s="39" t="s">
        <v>177</v>
      </c>
      <c r="C51" s="18" t="s">
        <v>181</v>
      </c>
      <c r="D51" s="3" t="s">
        <v>182</v>
      </c>
      <c r="E51" s="28">
        <v>96</v>
      </c>
      <c r="F51" s="28">
        <v>48</v>
      </c>
      <c r="G51" s="28">
        <v>48</v>
      </c>
      <c r="H51" s="20">
        <v>1</v>
      </c>
      <c r="I51" s="4">
        <f t="shared" si="36"/>
        <v>128</v>
      </c>
      <c r="J51" s="19">
        <f t="shared" si="26"/>
        <v>128</v>
      </c>
      <c r="K51" s="19">
        <v>1200</v>
      </c>
      <c r="L51" s="4">
        <f t="shared" si="38"/>
        <v>1200</v>
      </c>
      <c r="M51" s="28" t="s">
        <v>131</v>
      </c>
      <c r="N51" s="707" t="s">
        <v>183</v>
      </c>
      <c r="O51" s="756" t="s">
        <v>53</v>
      </c>
      <c r="P51" s="760">
        <f t="shared" si="18"/>
        <v>624</v>
      </c>
      <c r="Q51" s="702">
        <v>44881</v>
      </c>
      <c r="R51" s="757">
        <v>45505</v>
      </c>
      <c r="S51" s="65" t="s">
        <v>133</v>
      </c>
      <c r="T51" s="758" t="s">
        <v>92</v>
      </c>
      <c r="U51" s="759" t="s">
        <v>137</v>
      </c>
      <c r="V51" s="741" t="str">
        <f t="shared" si="27"/>
        <v>FY25 inter</v>
      </c>
      <c r="W51" s="742" t="s">
        <v>145</v>
      </c>
      <c r="X51" s="759" t="str">
        <f t="shared" si="7"/>
        <v>USAP Air</v>
      </c>
      <c r="Y51" s="320" t="s">
        <v>45</v>
      </c>
      <c r="Z51" s="320" t="s">
        <v>45</v>
      </c>
      <c r="AA51" s="320" t="s">
        <v>45</v>
      </c>
      <c r="AB51" s="320" t="s">
        <v>45</v>
      </c>
      <c r="AC51" s="770">
        <v>0.25</v>
      </c>
      <c r="AD51" s="702">
        <v>45597</v>
      </c>
      <c r="AE51" s="754" t="str">
        <f t="shared" si="42"/>
        <v>FY25 intra</v>
      </c>
      <c r="AF51" s="363" t="str">
        <f t="shared" si="39"/>
        <v>FY25 LC-130</v>
      </c>
      <c r="AG51" s="320" t="s">
        <v>45</v>
      </c>
      <c r="AH51" s="320" t="s">
        <v>45</v>
      </c>
      <c r="AI51" s="320" t="s">
        <v>45</v>
      </c>
      <c r="AJ51" s="771">
        <f t="shared" si="43"/>
        <v>0.25</v>
      </c>
      <c r="AK51" s="53">
        <v>45626</v>
      </c>
      <c r="AL51" s="53">
        <v>45627</v>
      </c>
      <c r="AM51" s="761">
        <f t="shared" si="24"/>
        <v>1</v>
      </c>
      <c r="AN51" s="761">
        <f t="shared" si="9"/>
        <v>122</v>
      </c>
      <c r="AO51" s="762" t="s">
        <v>56</v>
      </c>
      <c r="AP51" s="762" t="s">
        <v>180</v>
      </c>
      <c r="AQ51" s="702">
        <v>44481</v>
      </c>
      <c r="AR51" s="762" t="s">
        <v>148</v>
      </c>
      <c r="AS51" s="702">
        <v>44662</v>
      </c>
      <c r="AT51" s="762" t="s">
        <v>184</v>
      </c>
    </row>
    <row r="52" spans="1:46" ht="34" x14ac:dyDescent="0.2">
      <c r="A52" s="636">
        <v>1.2</v>
      </c>
      <c r="B52" s="37" t="s">
        <v>177</v>
      </c>
      <c r="C52" s="3" t="s">
        <v>185</v>
      </c>
      <c r="D52" s="3" t="s">
        <v>186</v>
      </c>
      <c r="E52" s="20">
        <v>240</v>
      </c>
      <c r="F52" s="20">
        <v>96</v>
      </c>
      <c r="G52" s="20">
        <v>96</v>
      </c>
      <c r="H52" s="20">
        <v>1</v>
      </c>
      <c r="I52" s="4">
        <f t="shared" si="36"/>
        <v>1280</v>
      </c>
      <c r="J52" s="19">
        <f t="shared" si="26"/>
        <v>1280</v>
      </c>
      <c r="K52" s="19">
        <v>12000</v>
      </c>
      <c r="L52" s="4">
        <f t="shared" si="38"/>
        <v>12000</v>
      </c>
      <c r="M52" s="776" t="s">
        <v>131</v>
      </c>
      <c r="N52" s="763" t="s">
        <v>45</v>
      </c>
      <c r="O52" s="756" t="s">
        <v>53</v>
      </c>
      <c r="P52" s="760">
        <f t="shared" si="18"/>
        <v>50</v>
      </c>
      <c r="Q52" s="702">
        <v>44799</v>
      </c>
      <c r="R52" s="757">
        <v>44849</v>
      </c>
      <c r="S52" s="772" t="s">
        <v>133</v>
      </c>
      <c r="T52" s="758" t="s">
        <v>92</v>
      </c>
      <c r="U52" s="742" t="s">
        <v>134</v>
      </c>
      <c r="V52" s="741" t="str">
        <f t="shared" si="27"/>
        <v>FY23 inter</v>
      </c>
      <c r="W52" s="742" t="s">
        <v>62</v>
      </c>
      <c r="X52" s="759" t="str">
        <f t="shared" si="7"/>
        <v>USAP Vessel</v>
      </c>
      <c r="Y52" s="320" t="s">
        <v>45</v>
      </c>
      <c r="Z52" s="320" t="s">
        <v>45</v>
      </c>
      <c r="AA52" s="703">
        <v>1</v>
      </c>
      <c r="AB52" s="320" t="s">
        <v>45</v>
      </c>
      <c r="AC52" s="770" t="s">
        <v>45</v>
      </c>
      <c r="AD52" s="709">
        <v>44963</v>
      </c>
      <c r="AE52" s="754" t="str">
        <f t="shared" si="42"/>
        <v>FY24 intra</v>
      </c>
      <c r="AF52" s="363" t="str">
        <f t="shared" si="39"/>
        <v>FY24 SPOT 1</v>
      </c>
      <c r="AG52" s="320">
        <v>0.5</v>
      </c>
      <c r="AH52" s="320" t="s">
        <v>45</v>
      </c>
      <c r="AI52" s="320" t="s">
        <v>45</v>
      </c>
      <c r="AJ52" s="771" t="str">
        <f t="shared" si="43"/>
        <v>-</v>
      </c>
      <c r="AK52" s="53">
        <v>45261</v>
      </c>
      <c r="AL52" s="53">
        <v>45629</v>
      </c>
      <c r="AM52" s="761">
        <f t="shared" si="24"/>
        <v>368</v>
      </c>
      <c r="AN52" s="761">
        <f t="shared" si="9"/>
        <v>780</v>
      </c>
      <c r="AO52" s="762" t="s">
        <v>56</v>
      </c>
      <c r="AP52" s="762" t="s">
        <v>57</v>
      </c>
      <c r="AQ52" s="702">
        <v>44477</v>
      </c>
      <c r="AR52" s="762" t="s">
        <v>58</v>
      </c>
      <c r="AS52" s="702">
        <v>44662</v>
      </c>
      <c r="AT52" s="762" t="s">
        <v>187</v>
      </c>
    </row>
    <row r="53" spans="1:46" ht="17" x14ac:dyDescent="0.2">
      <c r="A53" s="705">
        <v>1.2</v>
      </c>
      <c r="B53" s="45" t="s">
        <v>177</v>
      </c>
      <c r="C53" s="16" t="s">
        <v>188</v>
      </c>
      <c r="D53" s="16" t="s">
        <v>189</v>
      </c>
      <c r="E53" s="46">
        <v>96</v>
      </c>
      <c r="F53" s="46">
        <v>48</v>
      </c>
      <c r="G53" s="46">
        <v>48</v>
      </c>
      <c r="H53" s="20">
        <v>7</v>
      </c>
      <c r="I53" s="4">
        <f t="shared" si="36"/>
        <v>128</v>
      </c>
      <c r="J53" s="19">
        <f t="shared" si="26"/>
        <v>896</v>
      </c>
      <c r="K53" s="19">
        <v>1000</v>
      </c>
      <c r="L53" s="4">
        <f t="shared" si="21"/>
        <v>7000</v>
      </c>
      <c r="M53" s="777" t="s">
        <v>131</v>
      </c>
      <c r="N53" s="6" t="s">
        <v>45</v>
      </c>
      <c r="O53" s="756" t="s">
        <v>53</v>
      </c>
      <c r="P53" s="760">
        <f t="shared" si="18"/>
        <v>97</v>
      </c>
      <c r="Q53" s="702">
        <v>45117</v>
      </c>
      <c r="R53" s="757">
        <v>45214</v>
      </c>
      <c r="S53" s="772" t="s">
        <v>133</v>
      </c>
      <c r="T53" s="758" t="s">
        <v>92</v>
      </c>
      <c r="U53" s="759" t="s">
        <v>134</v>
      </c>
      <c r="V53" s="741" t="str">
        <f t="shared" si="27"/>
        <v>FY24 inter</v>
      </c>
      <c r="W53" s="742" t="s">
        <v>168</v>
      </c>
      <c r="X53" s="759" t="str">
        <f t="shared" si="7"/>
        <v>USAP Vessel</v>
      </c>
      <c r="Y53" s="320" t="s">
        <v>45</v>
      </c>
      <c r="Z53" s="320" t="s">
        <v>45</v>
      </c>
      <c r="AA53" s="320">
        <v>2</v>
      </c>
      <c r="AB53" s="320" t="s">
        <v>45</v>
      </c>
      <c r="AC53" s="770" t="s">
        <v>45</v>
      </c>
      <c r="AD53" s="709">
        <v>45328</v>
      </c>
      <c r="AE53" s="754" t="str">
        <f t="shared" si="42"/>
        <v>FY25 intra</v>
      </c>
      <c r="AF53" s="363" t="str">
        <f t="shared" si="39"/>
        <v>FY25 SPOT 2</v>
      </c>
      <c r="AG53" s="770" t="s">
        <v>45</v>
      </c>
      <c r="AH53" s="320">
        <v>0.1</v>
      </c>
      <c r="AI53" s="770" t="s">
        <v>45</v>
      </c>
      <c r="AJ53" s="771" t="str">
        <f t="shared" si="43"/>
        <v>-</v>
      </c>
      <c r="AK53" s="53">
        <v>45658</v>
      </c>
      <c r="AL53" s="53">
        <v>45979</v>
      </c>
      <c r="AM53" s="761">
        <f t="shared" si="24"/>
        <v>321</v>
      </c>
      <c r="AN53" s="761">
        <f t="shared" si="9"/>
        <v>765</v>
      </c>
      <c r="AO53" s="762" t="s">
        <v>56</v>
      </c>
      <c r="AP53" s="762" t="s">
        <v>148</v>
      </c>
      <c r="AQ53" s="702">
        <v>44461</v>
      </c>
      <c r="AR53" s="762" t="s">
        <v>58</v>
      </c>
      <c r="AS53" s="702">
        <v>44461</v>
      </c>
      <c r="AT53" s="762" t="s">
        <v>45</v>
      </c>
    </row>
    <row r="54" spans="1:46" ht="17" x14ac:dyDescent="0.2">
      <c r="A54" s="705">
        <v>1.2</v>
      </c>
      <c r="B54" s="45" t="s">
        <v>177</v>
      </c>
      <c r="C54" s="16" t="s">
        <v>190</v>
      </c>
      <c r="D54" s="16" t="s">
        <v>191</v>
      </c>
      <c r="E54" s="46">
        <v>36</v>
      </c>
      <c r="F54" s="46">
        <v>24</v>
      </c>
      <c r="G54" s="46">
        <v>24</v>
      </c>
      <c r="H54" s="20">
        <v>7</v>
      </c>
      <c r="I54" s="4">
        <f t="shared" si="36"/>
        <v>12</v>
      </c>
      <c r="J54" s="19">
        <f t="shared" si="26"/>
        <v>84</v>
      </c>
      <c r="K54" s="19">
        <v>786</v>
      </c>
      <c r="L54" s="4">
        <f t="shared" si="21"/>
        <v>5502</v>
      </c>
      <c r="M54" s="46" t="s">
        <v>131</v>
      </c>
      <c r="N54" s="6" t="s">
        <v>45</v>
      </c>
      <c r="O54" s="756" t="s">
        <v>53</v>
      </c>
      <c r="P54" s="760">
        <f t="shared" si="18"/>
        <v>110</v>
      </c>
      <c r="Q54" s="702">
        <v>45104</v>
      </c>
      <c r="R54" s="757">
        <v>45214</v>
      </c>
      <c r="S54" s="772" t="s">
        <v>133</v>
      </c>
      <c r="T54" s="758" t="s">
        <v>92</v>
      </c>
      <c r="U54" s="759" t="s">
        <v>134</v>
      </c>
      <c r="V54" s="741" t="str">
        <f t="shared" si="27"/>
        <v>FY24 inter</v>
      </c>
      <c r="W54" s="742" t="s">
        <v>168</v>
      </c>
      <c r="X54" s="759" t="str">
        <f t="shared" si="7"/>
        <v>USAP Vessel</v>
      </c>
      <c r="Y54" s="320" t="s">
        <v>45</v>
      </c>
      <c r="Z54" s="320" t="s">
        <v>45</v>
      </c>
      <c r="AA54" s="320">
        <v>1</v>
      </c>
      <c r="AB54" s="320" t="s">
        <v>45</v>
      </c>
      <c r="AC54" s="770" t="s">
        <v>45</v>
      </c>
      <c r="AD54" s="709">
        <v>45328</v>
      </c>
      <c r="AE54" s="754" t="str">
        <f t="shared" si="42"/>
        <v>FY25 intra</v>
      </c>
      <c r="AF54" s="363" t="str">
        <f t="shared" si="39"/>
        <v>FY25 SPOT 2</v>
      </c>
      <c r="AG54" s="770" t="s">
        <v>45</v>
      </c>
      <c r="AH54" s="320">
        <v>0.1</v>
      </c>
      <c r="AI54" s="770" t="s">
        <v>45</v>
      </c>
      <c r="AJ54" s="771" t="str">
        <f t="shared" si="43"/>
        <v>-</v>
      </c>
      <c r="AK54" s="53">
        <v>45658</v>
      </c>
      <c r="AL54" s="53">
        <v>45979</v>
      </c>
      <c r="AM54" s="761">
        <f t="shared" si="24"/>
        <v>321</v>
      </c>
      <c r="AN54" s="761">
        <f t="shared" si="9"/>
        <v>765</v>
      </c>
      <c r="AO54" s="762" t="s">
        <v>56</v>
      </c>
      <c r="AP54" s="762" t="s">
        <v>148</v>
      </c>
      <c r="AQ54" s="702">
        <v>44461</v>
      </c>
      <c r="AR54" s="762" t="s">
        <v>58</v>
      </c>
      <c r="AS54" s="702">
        <v>44461</v>
      </c>
      <c r="AT54" s="762" t="s">
        <v>45</v>
      </c>
    </row>
    <row r="55" spans="1:46" ht="34" x14ac:dyDescent="0.2">
      <c r="A55" s="778">
        <v>1.2</v>
      </c>
      <c r="B55" s="45" t="s">
        <v>177</v>
      </c>
      <c r="C55" s="1" t="s">
        <v>192</v>
      </c>
      <c r="D55" s="1" t="s">
        <v>193</v>
      </c>
      <c r="E55" s="29">
        <v>48</v>
      </c>
      <c r="F55" s="29">
        <v>48</v>
      </c>
      <c r="G55" s="29">
        <v>48</v>
      </c>
      <c r="H55" s="20">
        <v>1</v>
      </c>
      <c r="I55" s="4">
        <f t="shared" si="36"/>
        <v>64</v>
      </c>
      <c r="J55" s="19">
        <f t="shared" si="26"/>
        <v>64</v>
      </c>
      <c r="K55" s="19">
        <v>1500</v>
      </c>
      <c r="L55" s="4">
        <f>IF(ISERROR(SEARCH("totals", C55)),H55*K55, "")</f>
        <v>1500</v>
      </c>
      <c r="M55" s="779" t="s">
        <v>131</v>
      </c>
      <c r="N55" s="766" t="s">
        <v>132</v>
      </c>
      <c r="O55" s="756" t="s">
        <v>53</v>
      </c>
      <c r="P55" s="760">
        <f t="shared" si="18"/>
        <v>50</v>
      </c>
      <c r="Q55" s="702">
        <v>45455</v>
      </c>
      <c r="R55" s="757">
        <v>45505</v>
      </c>
      <c r="S55" s="758" t="s">
        <v>133</v>
      </c>
      <c r="T55" s="758" t="s">
        <v>92</v>
      </c>
      <c r="U55" s="759" t="s">
        <v>137</v>
      </c>
      <c r="V55" s="741" t="str">
        <f t="shared" si="27"/>
        <v>FY25 inter</v>
      </c>
      <c r="W55" s="742" t="s">
        <v>145</v>
      </c>
      <c r="X55" s="759" t="str">
        <f t="shared" si="7"/>
        <v>USAP Air</v>
      </c>
      <c r="Y55" s="320" t="s">
        <v>45</v>
      </c>
      <c r="Z55" s="320" t="s">
        <v>45</v>
      </c>
      <c r="AA55" s="320" t="s">
        <v>45</v>
      </c>
      <c r="AB55" s="320" t="s">
        <v>45</v>
      </c>
      <c r="AC55" s="770">
        <v>0.25</v>
      </c>
      <c r="AD55" s="702">
        <v>45597</v>
      </c>
      <c r="AE55" s="754" t="str">
        <f t="shared" si="42"/>
        <v>FY25 intra</v>
      </c>
      <c r="AF55" s="363" t="str">
        <f t="shared" si="39"/>
        <v>FY25 LC-130</v>
      </c>
      <c r="AG55" s="320" t="s">
        <v>45</v>
      </c>
      <c r="AH55" s="320" t="s">
        <v>45</v>
      </c>
      <c r="AI55" s="320" t="s">
        <v>45</v>
      </c>
      <c r="AJ55" s="771">
        <f t="shared" si="43"/>
        <v>0.25</v>
      </c>
      <c r="AK55" s="53">
        <v>45626</v>
      </c>
      <c r="AL55" s="53">
        <v>45627</v>
      </c>
      <c r="AM55" s="761">
        <f t="shared" si="24"/>
        <v>1</v>
      </c>
      <c r="AN55" s="761">
        <f t="shared" si="9"/>
        <v>122</v>
      </c>
      <c r="AO55" s="762" t="s">
        <v>56</v>
      </c>
      <c r="AP55" s="762" t="s">
        <v>194</v>
      </c>
      <c r="AQ55" s="702">
        <v>44477</v>
      </c>
      <c r="AR55" s="762" t="s">
        <v>148</v>
      </c>
      <c r="AS55" s="702">
        <v>44477</v>
      </c>
      <c r="AT55" s="762" t="s">
        <v>45</v>
      </c>
    </row>
    <row r="56" spans="1:46" ht="34" x14ac:dyDescent="0.2">
      <c r="A56" s="778">
        <v>1.2</v>
      </c>
      <c r="B56" s="45" t="s">
        <v>177</v>
      </c>
      <c r="C56" s="3" t="s">
        <v>195</v>
      </c>
      <c r="D56" s="3" t="s">
        <v>662</v>
      </c>
      <c r="E56" s="29">
        <v>48</v>
      </c>
      <c r="F56" s="29">
        <v>48</v>
      </c>
      <c r="G56" s="29">
        <v>48</v>
      </c>
      <c r="H56" s="20">
        <v>1</v>
      </c>
      <c r="I56" s="4">
        <f t="shared" si="36"/>
        <v>64</v>
      </c>
      <c r="J56" s="19">
        <f t="shared" si="26"/>
        <v>64</v>
      </c>
      <c r="K56" s="19">
        <v>1500</v>
      </c>
      <c r="L56" s="4">
        <f>IF(ISERROR(SEARCH("totals", C56)),H56*K56, "")</f>
        <v>1500</v>
      </c>
      <c r="M56" s="779" t="s">
        <v>131</v>
      </c>
      <c r="N56" s="766" t="s">
        <v>132</v>
      </c>
      <c r="O56" s="756" t="s">
        <v>53</v>
      </c>
      <c r="P56" s="760">
        <f t="shared" si="18"/>
        <v>25</v>
      </c>
      <c r="Q56" s="702">
        <v>45845</v>
      </c>
      <c r="R56" s="757">
        <v>45870</v>
      </c>
      <c r="S56" s="758" t="s">
        <v>133</v>
      </c>
      <c r="T56" s="758" t="s">
        <v>92</v>
      </c>
      <c r="U56" s="759" t="s">
        <v>137</v>
      </c>
      <c r="V56" s="741" t="str">
        <f t="shared" si="27"/>
        <v>FY26 inter</v>
      </c>
      <c r="W56" s="742" t="s">
        <v>158</v>
      </c>
      <c r="X56" s="759" t="str">
        <f t="shared" si="7"/>
        <v>USAP Air</v>
      </c>
      <c r="Y56" s="320" t="s">
        <v>45</v>
      </c>
      <c r="Z56" s="320" t="s">
        <v>45</v>
      </c>
      <c r="AA56" s="320" t="s">
        <v>45</v>
      </c>
      <c r="AB56" s="320" t="s">
        <v>45</v>
      </c>
      <c r="AC56" s="770">
        <v>0.25</v>
      </c>
      <c r="AD56" s="702">
        <v>45962</v>
      </c>
      <c r="AE56" s="754" t="str">
        <f t="shared" si="42"/>
        <v>FY26 intra</v>
      </c>
      <c r="AF56" s="363" t="str">
        <f t="shared" si="39"/>
        <v>FY26 LC-130</v>
      </c>
      <c r="AG56" s="320" t="s">
        <v>45</v>
      </c>
      <c r="AH56" s="320" t="s">
        <v>45</v>
      </c>
      <c r="AI56" s="320" t="s">
        <v>45</v>
      </c>
      <c r="AJ56" s="771">
        <f t="shared" si="43"/>
        <v>0.25</v>
      </c>
      <c r="AK56" s="53">
        <v>45976</v>
      </c>
      <c r="AL56" s="53">
        <v>45992</v>
      </c>
      <c r="AM56" s="761">
        <f t="shared" si="24"/>
        <v>16</v>
      </c>
      <c r="AN56" s="761">
        <f t="shared" si="9"/>
        <v>122</v>
      </c>
      <c r="AO56" s="762" t="s">
        <v>56</v>
      </c>
      <c r="AP56" s="762" t="s">
        <v>148</v>
      </c>
      <c r="AQ56" s="702">
        <v>44477</v>
      </c>
      <c r="AR56" s="762" t="s">
        <v>148</v>
      </c>
      <c r="AS56" s="702">
        <v>44477</v>
      </c>
      <c r="AT56" s="762" t="s">
        <v>45</v>
      </c>
    </row>
    <row r="57" spans="1:46" ht="34" x14ac:dyDescent="0.2">
      <c r="A57" s="636">
        <v>1.5</v>
      </c>
      <c r="B57" s="45" t="s">
        <v>177</v>
      </c>
      <c r="C57" s="3" t="s">
        <v>196</v>
      </c>
      <c r="D57" s="3" t="s">
        <v>197</v>
      </c>
      <c r="E57" s="20">
        <v>58</v>
      </c>
      <c r="F57" s="20">
        <v>38</v>
      </c>
      <c r="G57" s="776">
        <v>41</v>
      </c>
      <c r="H57" s="20">
        <v>1</v>
      </c>
      <c r="I57" s="4">
        <f t="shared" si="36"/>
        <v>53</v>
      </c>
      <c r="J57" s="19">
        <f t="shared" si="26"/>
        <v>53</v>
      </c>
      <c r="K57" s="19">
        <v>836</v>
      </c>
      <c r="L57" s="4">
        <f t="shared" si="21"/>
        <v>836</v>
      </c>
      <c r="M57" s="20" t="s">
        <v>131</v>
      </c>
      <c r="N57" s="5" t="s">
        <v>198</v>
      </c>
      <c r="O57" s="756" t="s">
        <v>53</v>
      </c>
      <c r="P57" s="760">
        <f t="shared" si="18"/>
        <v>2</v>
      </c>
      <c r="Q57" s="879">
        <v>45503</v>
      </c>
      <c r="R57" s="757">
        <v>45505</v>
      </c>
      <c r="S57" s="772" t="s">
        <v>133</v>
      </c>
      <c r="T57" s="758" t="s">
        <v>92</v>
      </c>
      <c r="U57" s="759" t="s">
        <v>137</v>
      </c>
      <c r="V57" s="741" t="str">
        <f t="shared" si="27"/>
        <v>FY25 inter</v>
      </c>
      <c r="W57" s="742" t="s">
        <v>145</v>
      </c>
      <c r="X57" s="759" t="str">
        <f t="shared" si="7"/>
        <v>USAP Air</v>
      </c>
      <c r="Y57" s="320" t="s">
        <v>45</v>
      </c>
      <c r="Z57" s="320" t="s">
        <v>45</v>
      </c>
      <c r="AA57" s="320" t="s">
        <v>45</v>
      </c>
      <c r="AB57" s="320" t="s">
        <v>45</v>
      </c>
      <c r="AC57" s="770">
        <v>0.25</v>
      </c>
      <c r="AD57" s="702">
        <v>45597</v>
      </c>
      <c r="AE57" s="754" t="str">
        <f t="shared" si="42"/>
        <v>FY25 intra</v>
      </c>
      <c r="AF57" s="363" t="str">
        <f t="shared" si="39"/>
        <v>FY25 LC-130</v>
      </c>
      <c r="AG57" s="320" t="s">
        <v>45</v>
      </c>
      <c r="AH57" s="320" t="s">
        <v>45</v>
      </c>
      <c r="AI57" s="320" t="s">
        <v>45</v>
      </c>
      <c r="AJ57" s="771">
        <f t="shared" si="43"/>
        <v>0.25</v>
      </c>
      <c r="AK57" s="53">
        <v>45641</v>
      </c>
      <c r="AL57" s="256">
        <v>45654</v>
      </c>
      <c r="AM57" s="811">
        <f t="shared" si="24"/>
        <v>13</v>
      </c>
      <c r="AN57" s="761">
        <f t="shared" si="9"/>
        <v>149</v>
      </c>
      <c r="AO57" s="762" t="s">
        <v>56</v>
      </c>
      <c r="AP57" s="762" t="s">
        <v>199</v>
      </c>
      <c r="AQ57" s="702">
        <v>44482</v>
      </c>
      <c r="AR57" s="762" t="s">
        <v>148</v>
      </c>
      <c r="AS57" s="702">
        <v>44482</v>
      </c>
      <c r="AT57" s="762" t="s">
        <v>45</v>
      </c>
    </row>
    <row r="58" spans="1:46" ht="68" x14ac:dyDescent="0.2">
      <c r="A58" s="778">
        <v>1.3</v>
      </c>
      <c r="B58" s="45" t="s">
        <v>177</v>
      </c>
      <c r="C58" s="3" t="s">
        <v>200</v>
      </c>
      <c r="D58" s="3" t="s">
        <v>201</v>
      </c>
      <c r="E58" s="20">
        <v>63</v>
      </c>
      <c r="F58" s="20">
        <v>40</v>
      </c>
      <c r="G58" s="20">
        <v>42</v>
      </c>
      <c r="H58" s="20">
        <v>1</v>
      </c>
      <c r="I58" s="4">
        <f t="shared" si="36"/>
        <v>62</v>
      </c>
      <c r="J58" s="19">
        <f t="shared" si="26"/>
        <v>62</v>
      </c>
      <c r="K58" s="19">
        <v>677</v>
      </c>
      <c r="L58" s="4">
        <f t="shared" si="21"/>
        <v>677</v>
      </c>
      <c r="M58" s="776" t="s">
        <v>202</v>
      </c>
      <c r="N58" s="5" t="s">
        <v>198</v>
      </c>
      <c r="O58" s="9" t="s">
        <v>203</v>
      </c>
      <c r="P58" s="760">
        <f t="shared" si="18"/>
        <v>2</v>
      </c>
      <c r="Q58" s="879">
        <v>45503</v>
      </c>
      <c r="R58" s="757">
        <v>45505</v>
      </c>
      <c r="S58" s="772" t="s">
        <v>133</v>
      </c>
      <c r="T58" s="758" t="s">
        <v>92</v>
      </c>
      <c r="U58" s="759" t="s">
        <v>137</v>
      </c>
      <c r="V58" s="741" t="str">
        <f t="shared" si="27"/>
        <v>FY25 inter</v>
      </c>
      <c r="W58" s="742" t="s">
        <v>145</v>
      </c>
      <c r="X58" s="759" t="str">
        <f t="shared" si="7"/>
        <v>USAP Air</v>
      </c>
      <c r="Y58" s="320" t="s">
        <v>45</v>
      </c>
      <c r="Z58" s="320" t="s">
        <v>45</v>
      </c>
      <c r="AA58" s="320" t="s">
        <v>45</v>
      </c>
      <c r="AB58" s="320" t="s">
        <v>45</v>
      </c>
      <c r="AC58" s="770">
        <v>0.25</v>
      </c>
      <c r="AD58" s="702">
        <v>45597</v>
      </c>
      <c r="AE58" s="754" t="str">
        <f t="shared" si="42"/>
        <v>FY25 intra</v>
      </c>
      <c r="AF58" s="363" t="str">
        <f t="shared" si="39"/>
        <v>FY25 LC-130</v>
      </c>
      <c r="AG58" s="320" t="s">
        <v>45</v>
      </c>
      <c r="AH58" s="320" t="s">
        <v>45</v>
      </c>
      <c r="AI58" s="320" t="s">
        <v>45</v>
      </c>
      <c r="AJ58" s="771">
        <f t="shared" si="43"/>
        <v>0.25</v>
      </c>
      <c r="AK58" s="53">
        <v>45641</v>
      </c>
      <c r="AL58" s="53">
        <v>45654</v>
      </c>
      <c r="AM58" s="761">
        <f t="shared" si="24"/>
        <v>13</v>
      </c>
      <c r="AN58" s="761">
        <f t="shared" si="9"/>
        <v>149</v>
      </c>
      <c r="AO58" s="762" t="s">
        <v>56</v>
      </c>
      <c r="AP58" s="762" t="s">
        <v>204</v>
      </c>
      <c r="AQ58" s="702">
        <v>44482</v>
      </c>
      <c r="AR58" s="762" t="s">
        <v>148</v>
      </c>
      <c r="AS58" s="702">
        <v>44482</v>
      </c>
      <c r="AT58" s="762" t="s">
        <v>205</v>
      </c>
    </row>
    <row r="59" spans="1:46" ht="68" x14ac:dyDescent="0.2">
      <c r="A59" s="778">
        <v>1.3</v>
      </c>
      <c r="B59" s="45" t="s">
        <v>177</v>
      </c>
      <c r="C59" s="47" t="s">
        <v>206</v>
      </c>
      <c r="D59" s="3" t="s">
        <v>207</v>
      </c>
      <c r="E59" s="20">
        <v>81</v>
      </c>
      <c r="F59" s="20">
        <v>56</v>
      </c>
      <c r="G59" s="20">
        <v>51</v>
      </c>
      <c r="H59" s="20">
        <v>1</v>
      </c>
      <c r="I59" s="4">
        <f t="shared" si="36"/>
        <v>134</v>
      </c>
      <c r="J59" s="19">
        <f t="shared" si="26"/>
        <v>134</v>
      </c>
      <c r="K59" s="19">
        <v>1797</v>
      </c>
      <c r="L59" s="4">
        <f t="shared" si="21"/>
        <v>1797</v>
      </c>
      <c r="M59" s="776" t="s">
        <v>131</v>
      </c>
      <c r="N59" s="5" t="s">
        <v>198</v>
      </c>
      <c r="O59" s="9" t="s">
        <v>203</v>
      </c>
      <c r="P59" s="760">
        <f t="shared" si="18"/>
        <v>61</v>
      </c>
      <c r="Q59" s="879">
        <v>45809</v>
      </c>
      <c r="R59" s="757">
        <v>45870</v>
      </c>
      <c r="S59" s="772" t="s">
        <v>133</v>
      </c>
      <c r="T59" s="758" t="s">
        <v>92</v>
      </c>
      <c r="U59" s="759" t="s">
        <v>137</v>
      </c>
      <c r="V59" s="741" t="str">
        <f t="shared" si="27"/>
        <v>FY26 inter</v>
      </c>
      <c r="W59" s="742" t="s">
        <v>158</v>
      </c>
      <c r="X59" s="759" t="str">
        <f t="shared" si="7"/>
        <v>USAP Air</v>
      </c>
      <c r="Y59" s="320" t="s">
        <v>45</v>
      </c>
      <c r="Z59" s="320" t="s">
        <v>45</v>
      </c>
      <c r="AA59" s="320" t="s">
        <v>45</v>
      </c>
      <c r="AB59" s="320" t="s">
        <v>45</v>
      </c>
      <c r="AC59" s="770">
        <v>1.5</v>
      </c>
      <c r="AD59" s="702">
        <v>45962</v>
      </c>
      <c r="AE59" s="754" t="str">
        <f t="shared" si="42"/>
        <v>FY26 intra</v>
      </c>
      <c r="AF59" s="363" t="str">
        <f t="shared" si="39"/>
        <v>FY26 LC-130</v>
      </c>
      <c r="AG59" s="320" t="s">
        <v>45</v>
      </c>
      <c r="AH59" s="320" t="s">
        <v>45</v>
      </c>
      <c r="AI59" s="320" t="s">
        <v>45</v>
      </c>
      <c r="AJ59" s="771">
        <f t="shared" si="43"/>
        <v>1.5</v>
      </c>
      <c r="AK59" s="53">
        <v>45986</v>
      </c>
      <c r="AL59" s="53">
        <v>46001</v>
      </c>
      <c r="AM59" s="761">
        <f t="shared" si="24"/>
        <v>15</v>
      </c>
      <c r="AN59" s="761">
        <f t="shared" si="9"/>
        <v>131</v>
      </c>
      <c r="AO59" s="762" t="s">
        <v>56</v>
      </c>
      <c r="AP59" s="762" t="s">
        <v>204</v>
      </c>
      <c r="AQ59" s="702">
        <v>44482</v>
      </c>
      <c r="AR59" s="762" t="s">
        <v>148</v>
      </c>
      <c r="AS59" s="702">
        <v>44482</v>
      </c>
      <c r="AT59" s="762" t="s">
        <v>208</v>
      </c>
    </row>
    <row r="60" spans="1:46" ht="34" x14ac:dyDescent="0.2">
      <c r="A60" s="778">
        <v>1.5</v>
      </c>
      <c r="B60" s="45" t="s">
        <v>177</v>
      </c>
      <c r="C60" s="3" t="s">
        <v>209</v>
      </c>
      <c r="D60" s="3" t="s">
        <v>210</v>
      </c>
      <c r="E60" s="20">
        <v>75</v>
      </c>
      <c r="F60" s="20">
        <v>56.5</v>
      </c>
      <c r="G60" s="776">
        <v>41</v>
      </c>
      <c r="H60" s="20">
        <v>1</v>
      </c>
      <c r="I60" s="4">
        <f t="shared" si="36"/>
        <v>101</v>
      </c>
      <c r="J60" s="19">
        <f t="shared" si="26"/>
        <v>101</v>
      </c>
      <c r="K60" s="19">
        <v>1602</v>
      </c>
      <c r="L60" s="4">
        <f t="shared" si="21"/>
        <v>1602</v>
      </c>
      <c r="M60" s="20" t="s">
        <v>202</v>
      </c>
      <c r="N60" s="5" t="s">
        <v>198</v>
      </c>
      <c r="O60" s="756" t="s">
        <v>53</v>
      </c>
      <c r="P60" s="760">
        <f t="shared" si="18"/>
        <v>61</v>
      </c>
      <c r="Q60" s="879">
        <v>45809</v>
      </c>
      <c r="R60" s="757">
        <v>45870</v>
      </c>
      <c r="S60" s="758" t="s">
        <v>133</v>
      </c>
      <c r="T60" s="758" t="s">
        <v>92</v>
      </c>
      <c r="U60" s="759" t="s">
        <v>137</v>
      </c>
      <c r="V60" s="741" t="str">
        <f t="shared" si="27"/>
        <v>FY26 inter</v>
      </c>
      <c r="W60" s="742" t="s">
        <v>158</v>
      </c>
      <c r="X60" s="759" t="str">
        <f t="shared" si="7"/>
        <v>USAP Air</v>
      </c>
      <c r="Y60" s="320" t="s">
        <v>45</v>
      </c>
      <c r="Z60" s="320" t="s">
        <v>45</v>
      </c>
      <c r="AA60" s="320" t="s">
        <v>45</v>
      </c>
      <c r="AB60" s="320" t="s">
        <v>45</v>
      </c>
      <c r="AC60" s="780">
        <v>0.5</v>
      </c>
      <c r="AD60" s="702">
        <v>45962</v>
      </c>
      <c r="AE60" s="754" t="str">
        <f t="shared" si="42"/>
        <v>FY26 intra</v>
      </c>
      <c r="AF60" s="363" t="str">
        <f t="shared" si="39"/>
        <v>FY26 LC-130</v>
      </c>
      <c r="AG60" s="320" t="s">
        <v>45</v>
      </c>
      <c r="AH60" s="320" t="s">
        <v>45</v>
      </c>
      <c r="AI60" s="320" t="s">
        <v>45</v>
      </c>
      <c r="AJ60" s="771">
        <f t="shared" si="43"/>
        <v>0.5</v>
      </c>
      <c r="AK60" s="53">
        <v>45986</v>
      </c>
      <c r="AL60" s="53">
        <v>46001</v>
      </c>
      <c r="AM60" s="761">
        <f t="shared" si="24"/>
        <v>15</v>
      </c>
      <c r="AN60" s="761">
        <f t="shared" si="9"/>
        <v>131</v>
      </c>
      <c r="AO60" s="762" t="s">
        <v>56</v>
      </c>
      <c r="AP60" s="762" t="s">
        <v>199</v>
      </c>
      <c r="AQ60" s="702">
        <v>44482</v>
      </c>
      <c r="AR60" s="762" t="s">
        <v>148</v>
      </c>
      <c r="AS60" s="702">
        <v>44474</v>
      </c>
      <c r="AT60" s="762" t="s">
        <v>211</v>
      </c>
    </row>
    <row r="61" spans="1:46" ht="34" x14ac:dyDescent="0.2">
      <c r="A61" s="778">
        <v>1.5</v>
      </c>
      <c r="B61" s="45" t="s">
        <v>177</v>
      </c>
      <c r="C61" s="3" t="s">
        <v>212</v>
      </c>
      <c r="D61" s="3" t="s">
        <v>213</v>
      </c>
      <c r="E61" s="20">
        <v>48</v>
      </c>
      <c r="F61" s="20">
        <v>17</v>
      </c>
      <c r="G61" s="20">
        <v>17</v>
      </c>
      <c r="H61" s="20">
        <v>1</v>
      </c>
      <c r="I61" s="4">
        <f t="shared" si="36"/>
        <v>9</v>
      </c>
      <c r="J61" s="19">
        <f t="shared" si="26"/>
        <v>9</v>
      </c>
      <c r="K61" s="19">
        <v>60</v>
      </c>
      <c r="L61" s="4">
        <f t="shared" si="21"/>
        <v>60</v>
      </c>
      <c r="M61" s="776" t="s">
        <v>52</v>
      </c>
      <c r="N61" s="763" t="s">
        <v>132</v>
      </c>
      <c r="O61" s="756" t="s">
        <v>53</v>
      </c>
      <c r="P61" s="760">
        <f t="shared" si="18"/>
        <v>61</v>
      </c>
      <c r="Q61" s="702">
        <v>45809</v>
      </c>
      <c r="R61" s="757">
        <v>45870</v>
      </c>
      <c r="S61" s="772" t="s">
        <v>133</v>
      </c>
      <c r="T61" s="758" t="s">
        <v>92</v>
      </c>
      <c r="U61" s="759" t="s">
        <v>137</v>
      </c>
      <c r="V61" s="741" t="str">
        <f t="shared" si="27"/>
        <v>FY26 inter</v>
      </c>
      <c r="W61" s="742" t="s">
        <v>158</v>
      </c>
      <c r="X61" s="759" t="str">
        <f t="shared" si="7"/>
        <v>USAP Air</v>
      </c>
      <c r="Y61" s="320" t="s">
        <v>45</v>
      </c>
      <c r="Z61" s="320" t="s">
        <v>45</v>
      </c>
      <c r="AA61" s="320" t="s">
        <v>45</v>
      </c>
      <c r="AB61" s="320" t="s">
        <v>45</v>
      </c>
      <c r="AC61" s="770">
        <v>6.25E-2</v>
      </c>
      <c r="AD61" s="702">
        <v>45962</v>
      </c>
      <c r="AE61" s="754" t="str">
        <f t="shared" si="42"/>
        <v>FY26 intra</v>
      </c>
      <c r="AF61" s="363" t="str">
        <f t="shared" si="39"/>
        <v>FY26 LC-130</v>
      </c>
      <c r="AG61" s="320" t="s">
        <v>45</v>
      </c>
      <c r="AH61" s="320" t="s">
        <v>45</v>
      </c>
      <c r="AI61" s="320" t="s">
        <v>45</v>
      </c>
      <c r="AJ61" s="771">
        <f t="shared" si="43"/>
        <v>6.25E-2</v>
      </c>
      <c r="AK61" s="53">
        <v>45986</v>
      </c>
      <c r="AL61" s="53">
        <v>46001</v>
      </c>
      <c r="AM61" s="761">
        <f t="shared" si="24"/>
        <v>15</v>
      </c>
      <c r="AN61" s="761">
        <f t="shared" si="9"/>
        <v>131</v>
      </c>
      <c r="AO61" s="762" t="s">
        <v>56</v>
      </c>
      <c r="AP61" s="762" t="s">
        <v>199</v>
      </c>
      <c r="AQ61" s="702">
        <v>44483</v>
      </c>
      <c r="AR61" s="762" t="s">
        <v>148</v>
      </c>
      <c r="AS61" s="702">
        <v>44457</v>
      </c>
      <c r="AT61" s="762" t="s">
        <v>214</v>
      </c>
    </row>
    <row r="62" spans="1:46" ht="34" x14ac:dyDescent="0.2">
      <c r="A62" s="778">
        <v>1.5</v>
      </c>
      <c r="B62" s="45" t="s">
        <v>177</v>
      </c>
      <c r="C62" s="3" t="s">
        <v>212</v>
      </c>
      <c r="D62" s="3" t="s">
        <v>215</v>
      </c>
      <c r="E62" s="20">
        <v>48</v>
      </c>
      <c r="F62" s="20">
        <v>17</v>
      </c>
      <c r="G62" s="20">
        <v>17</v>
      </c>
      <c r="H62" s="20">
        <v>1</v>
      </c>
      <c r="I62" s="4">
        <f t="shared" si="36"/>
        <v>9</v>
      </c>
      <c r="J62" s="19">
        <f t="shared" si="26"/>
        <v>9</v>
      </c>
      <c r="K62" s="19">
        <v>60</v>
      </c>
      <c r="L62" s="4">
        <f t="shared" si="21"/>
        <v>60</v>
      </c>
      <c r="M62" s="776" t="s">
        <v>52</v>
      </c>
      <c r="N62" s="763" t="s">
        <v>132</v>
      </c>
      <c r="O62" s="756" t="s">
        <v>53</v>
      </c>
      <c r="P62" s="760">
        <f t="shared" si="18"/>
        <v>61</v>
      </c>
      <c r="Q62" s="702">
        <v>45809</v>
      </c>
      <c r="R62" s="757">
        <v>45870</v>
      </c>
      <c r="S62" s="772" t="s">
        <v>133</v>
      </c>
      <c r="T62" s="758" t="s">
        <v>92</v>
      </c>
      <c r="U62" s="759" t="s">
        <v>137</v>
      </c>
      <c r="V62" s="741" t="str">
        <f t="shared" si="27"/>
        <v>FY26 inter</v>
      </c>
      <c r="W62" s="742" t="s">
        <v>158</v>
      </c>
      <c r="X62" s="759" t="str">
        <f t="shared" si="7"/>
        <v>USAP Air</v>
      </c>
      <c r="Y62" s="320" t="s">
        <v>45</v>
      </c>
      <c r="Z62" s="320" t="s">
        <v>45</v>
      </c>
      <c r="AA62" s="320" t="s">
        <v>45</v>
      </c>
      <c r="AB62" s="320" t="s">
        <v>45</v>
      </c>
      <c r="AC62" s="770">
        <v>6.25E-2</v>
      </c>
      <c r="AD62" s="702">
        <v>45962</v>
      </c>
      <c r="AE62" s="754" t="str">
        <f t="shared" si="42"/>
        <v>FY26 intra</v>
      </c>
      <c r="AF62" s="363" t="str">
        <f t="shared" si="39"/>
        <v>FY26 LC-130</v>
      </c>
      <c r="AG62" s="320" t="s">
        <v>45</v>
      </c>
      <c r="AH62" s="320" t="s">
        <v>45</v>
      </c>
      <c r="AI62" s="320" t="s">
        <v>45</v>
      </c>
      <c r="AJ62" s="771">
        <f t="shared" si="43"/>
        <v>6.25E-2</v>
      </c>
      <c r="AK62" s="53">
        <v>45986</v>
      </c>
      <c r="AL62" s="53">
        <v>46001</v>
      </c>
      <c r="AM62" s="761">
        <f t="shared" si="24"/>
        <v>15</v>
      </c>
      <c r="AN62" s="761">
        <f t="shared" si="9"/>
        <v>131</v>
      </c>
      <c r="AO62" s="762" t="s">
        <v>56</v>
      </c>
      <c r="AP62" s="762" t="s">
        <v>199</v>
      </c>
      <c r="AQ62" s="702">
        <v>44483</v>
      </c>
      <c r="AR62" s="762" t="s">
        <v>148</v>
      </c>
      <c r="AS62" s="702">
        <v>44458</v>
      </c>
      <c r="AT62" s="762" t="s">
        <v>214</v>
      </c>
    </row>
    <row r="63" spans="1:46" ht="34" x14ac:dyDescent="0.2">
      <c r="A63" s="778">
        <v>1.5</v>
      </c>
      <c r="B63" s="45" t="s">
        <v>177</v>
      </c>
      <c r="C63" s="3" t="s">
        <v>212</v>
      </c>
      <c r="D63" s="3" t="s">
        <v>216</v>
      </c>
      <c r="E63" s="20">
        <v>26</v>
      </c>
      <c r="F63" s="20">
        <v>24</v>
      </c>
      <c r="G63" s="20">
        <v>24</v>
      </c>
      <c r="H63" s="20">
        <v>1</v>
      </c>
      <c r="I63" s="4">
        <f>ROUNDUP(E63*F63*G63/1728,0)</f>
        <v>9</v>
      </c>
      <c r="J63" s="19">
        <f t="shared" si="26"/>
        <v>9</v>
      </c>
      <c r="K63" s="19">
        <v>120</v>
      </c>
      <c r="L63" s="4">
        <f t="shared" si="21"/>
        <v>120</v>
      </c>
      <c r="M63" s="776" t="s">
        <v>52</v>
      </c>
      <c r="N63" s="763" t="s">
        <v>132</v>
      </c>
      <c r="O63" s="756" t="s">
        <v>53</v>
      </c>
      <c r="P63" s="760">
        <f t="shared" si="18"/>
        <v>61</v>
      </c>
      <c r="Q63" s="702">
        <v>45809</v>
      </c>
      <c r="R63" s="757">
        <v>45870</v>
      </c>
      <c r="S63" s="772" t="s">
        <v>133</v>
      </c>
      <c r="T63" s="758" t="s">
        <v>92</v>
      </c>
      <c r="U63" s="759" t="s">
        <v>137</v>
      </c>
      <c r="V63" s="741" t="str">
        <f t="shared" si="27"/>
        <v>FY26 inter</v>
      </c>
      <c r="W63" s="742" t="s">
        <v>158</v>
      </c>
      <c r="X63" s="759" t="str">
        <f t="shared" si="7"/>
        <v>USAP Air</v>
      </c>
      <c r="Y63" s="320" t="s">
        <v>45</v>
      </c>
      <c r="Z63" s="320" t="s">
        <v>45</v>
      </c>
      <c r="AA63" s="320" t="s">
        <v>45</v>
      </c>
      <c r="AB63" s="320" t="s">
        <v>45</v>
      </c>
      <c r="AC63" s="770">
        <v>6.25E-2</v>
      </c>
      <c r="AD63" s="702">
        <v>45962</v>
      </c>
      <c r="AE63" s="754" t="str">
        <f t="shared" si="42"/>
        <v>FY26 intra</v>
      </c>
      <c r="AF63" s="363" t="str">
        <f t="shared" si="39"/>
        <v>FY26 LC-130</v>
      </c>
      <c r="AG63" s="320" t="s">
        <v>45</v>
      </c>
      <c r="AH63" s="320" t="s">
        <v>45</v>
      </c>
      <c r="AI63" s="320" t="s">
        <v>45</v>
      </c>
      <c r="AJ63" s="771">
        <f t="shared" si="43"/>
        <v>6.25E-2</v>
      </c>
      <c r="AK63" s="53">
        <v>45986</v>
      </c>
      <c r="AL63" s="53">
        <v>46001</v>
      </c>
      <c r="AM63" s="761">
        <f t="shared" si="24"/>
        <v>15</v>
      </c>
      <c r="AN63" s="761">
        <f t="shared" si="9"/>
        <v>131</v>
      </c>
      <c r="AO63" s="762" t="s">
        <v>56</v>
      </c>
      <c r="AP63" s="762" t="s">
        <v>199</v>
      </c>
      <c r="AQ63" s="702">
        <v>44483</v>
      </c>
      <c r="AR63" s="762" t="s">
        <v>148</v>
      </c>
      <c r="AS63" s="702">
        <v>44459</v>
      </c>
      <c r="AT63" s="762" t="s">
        <v>214</v>
      </c>
    </row>
    <row r="64" spans="1:46" ht="34" x14ac:dyDescent="0.2">
      <c r="A64" s="778">
        <v>1.5</v>
      </c>
      <c r="B64" s="45" t="s">
        <v>177</v>
      </c>
      <c r="C64" s="3" t="s">
        <v>212</v>
      </c>
      <c r="D64" s="3" t="s">
        <v>216</v>
      </c>
      <c r="E64" s="20">
        <v>26</v>
      </c>
      <c r="F64" s="20">
        <v>23</v>
      </c>
      <c r="G64" s="20">
        <v>20</v>
      </c>
      <c r="H64" s="20">
        <v>1</v>
      </c>
      <c r="I64" s="4">
        <f t="shared" si="36"/>
        <v>7</v>
      </c>
      <c r="J64" s="19">
        <f t="shared" si="26"/>
        <v>7</v>
      </c>
      <c r="K64" s="19">
        <v>60</v>
      </c>
      <c r="L64" s="4">
        <f t="shared" si="21"/>
        <v>60</v>
      </c>
      <c r="M64" s="776" t="s">
        <v>52</v>
      </c>
      <c r="N64" s="763" t="s">
        <v>132</v>
      </c>
      <c r="O64" s="756" t="s">
        <v>53</v>
      </c>
      <c r="P64" s="760">
        <f t="shared" si="18"/>
        <v>61</v>
      </c>
      <c r="Q64" s="702">
        <v>45809</v>
      </c>
      <c r="R64" s="757">
        <v>45870</v>
      </c>
      <c r="S64" s="772" t="s">
        <v>133</v>
      </c>
      <c r="T64" s="758" t="s">
        <v>92</v>
      </c>
      <c r="U64" s="759" t="s">
        <v>137</v>
      </c>
      <c r="V64" s="741" t="str">
        <f t="shared" si="27"/>
        <v>FY26 inter</v>
      </c>
      <c r="W64" s="742" t="s">
        <v>158</v>
      </c>
      <c r="X64" s="759" t="str">
        <f t="shared" si="7"/>
        <v>USAP Air</v>
      </c>
      <c r="Y64" s="320" t="s">
        <v>45</v>
      </c>
      <c r="Z64" s="320" t="s">
        <v>45</v>
      </c>
      <c r="AA64" s="320" t="s">
        <v>45</v>
      </c>
      <c r="AB64" s="320" t="s">
        <v>45</v>
      </c>
      <c r="AC64" s="770">
        <v>6.25E-2</v>
      </c>
      <c r="AD64" s="702">
        <v>45962</v>
      </c>
      <c r="AE64" s="754" t="str">
        <f t="shared" si="42"/>
        <v>FY26 intra</v>
      </c>
      <c r="AF64" s="363" t="str">
        <f t="shared" si="39"/>
        <v>FY26 LC-130</v>
      </c>
      <c r="AG64" s="320" t="s">
        <v>45</v>
      </c>
      <c r="AH64" s="320" t="s">
        <v>45</v>
      </c>
      <c r="AI64" s="320" t="s">
        <v>45</v>
      </c>
      <c r="AJ64" s="771">
        <f t="shared" si="43"/>
        <v>6.25E-2</v>
      </c>
      <c r="AK64" s="53">
        <v>45986</v>
      </c>
      <c r="AL64" s="53">
        <v>46001</v>
      </c>
      <c r="AM64" s="761">
        <f t="shared" si="24"/>
        <v>15</v>
      </c>
      <c r="AN64" s="761">
        <f t="shared" si="9"/>
        <v>131</v>
      </c>
      <c r="AO64" s="762" t="s">
        <v>56</v>
      </c>
      <c r="AP64" s="762" t="s">
        <v>199</v>
      </c>
      <c r="AQ64" s="702">
        <v>44483</v>
      </c>
      <c r="AR64" s="762" t="s">
        <v>148</v>
      </c>
      <c r="AS64" s="702">
        <v>44460</v>
      </c>
      <c r="AT64" s="762" t="s">
        <v>214</v>
      </c>
    </row>
    <row r="65" spans="1:82" ht="17" x14ac:dyDescent="0.2">
      <c r="A65" s="778">
        <v>1.5</v>
      </c>
      <c r="B65" s="45" t="s">
        <v>177</v>
      </c>
      <c r="C65" s="3" t="s">
        <v>217</v>
      </c>
      <c r="D65" s="3" t="s">
        <v>218</v>
      </c>
      <c r="E65" s="20">
        <v>86</v>
      </c>
      <c r="F65" s="20">
        <v>60</v>
      </c>
      <c r="G65" s="20">
        <v>68</v>
      </c>
      <c r="H65" s="20">
        <v>1</v>
      </c>
      <c r="I65" s="4">
        <f t="shared" si="36"/>
        <v>204</v>
      </c>
      <c r="J65" s="19">
        <f t="shared" si="26"/>
        <v>204</v>
      </c>
      <c r="K65" s="19">
        <v>3500</v>
      </c>
      <c r="L65" s="4">
        <f t="shared" si="21"/>
        <v>3500</v>
      </c>
      <c r="M65" s="776" t="s">
        <v>202</v>
      </c>
      <c r="N65" s="763"/>
      <c r="O65" s="756" t="s">
        <v>53</v>
      </c>
      <c r="P65" s="760">
        <f t="shared" si="18"/>
        <v>61</v>
      </c>
      <c r="Q65" s="702">
        <v>45809</v>
      </c>
      <c r="R65" s="757">
        <v>45870</v>
      </c>
      <c r="S65" s="772" t="s">
        <v>133</v>
      </c>
      <c r="T65" s="758" t="s">
        <v>92</v>
      </c>
      <c r="U65" s="759" t="s">
        <v>137</v>
      </c>
      <c r="V65" s="741" t="str">
        <f t="shared" si="27"/>
        <v>FY26 inter</v>
      </c>
      <c r="W65" s="742" t="s">
        <v>158</v>
      </c>
      <c r="X65" s="759" t="str">
        <f t="shared" si="7"/>
        <v>USAP Air</v>
      </c>
      <c r="Y65" s="320" t="s">
        <v>45</v>
      </c>
      <c r="Z65" s="320" t="s">
        <v>45</v>
      </c>
      <c r="AA65" s="320" t="s">
        <v>45</v>
      </c>
      <c r="AB65" s="320" t="s">
        <v>45</v>
      </c>
      <c r="AC65" s="770">
        <v>0.5</v>
      </c>
      <c r="AD65" s="702">
        <v>45962</v>
      </c>
      <c r="AE65" s="754" t="str">
        <f t="shared" si="42"/>
        <v>FY26 intra</v>
      </c>
      <c r="AF65" s="363" t="str">
        <f t="shared" si="39"/>
        <v>FY26 LC-130</v>
      </c>
      <c r="AG65" s="320" t="s">
        <v>45</v>
      </c>
      <c r="AH65" s="320" t="s">
        <v>45</v>
      </c>
      <c r="AI65" s="320" t="s">
        <v>45</v>
      </c>
      <c r="AJ65" s="771">
        <f t="shared" si="43"/>
        <v>0.5</v>
      </c>
      <c r="AK65" s="53">
        <v>45986</v>
      </c>
      <c r="AL65" s="53">
        <v>46001</v>
      </c>
      <c r="AM65" s="761">
        <f t="shared" si="24"/>
        <v>15</v>
      </c>
      <c r="AN65" s="761">
        <f t="shared" si="9"/>
        <v>131</v>
      </c>
      <c r="AO65" s="762" t="s">
        <v>56</v>
      </c>
      <c r="AP65" s="762" t="s">
        <v>148</v>
      </c>
      <c r="AQ65" s="702">
        <v>44477</v>
      </c>
      <c r="AR65" s="762" t="s">
        <v>58</v>
      </c>
      <c r="AS65" s="702">
        <v>44477</v>
      </c>
      <c r="AT65" s="762" t="s">
        <v>219</v>
      </c>
    </row>
    <row r="66" spans="1:82" ht="34" x14ac:dyDescent="0.2">
      <c r="A66" s="638">
        <v>1.5</v>
      </c>
      <c r="B66" s="283" t="s">
        <v>177</v>
      </c>
      <c r="C66" s="278" t="s">
        <v>220</v>
      </c>
      <c r="D66" s="278" t="s">
        <v>221</v>
      </c>
      <c r="E66" s="20">
        <v>48</v>
      </c>
      <c r="F66" s="20">
        <v>48</v>
      </c>
      <c r="G66" s="20">
        <v>36</v>
      </c>
      <c r="H66" s="20">
        <v>1</v>
      </c>
      <c r="I66" s="4">
        <f t="shared" si="36"/>
        <v>48</v>
      </c>
      <c r="J66" s="19">
        <f t="shared" si="26"/>
        <v>48</v>
      </c>
      <c r="K66" s="19">
        <v>400</v>
      </c>
      <c r="L66" s="4">
        <f t="shared" si="21"/>
        <v>400</v>
      </c>
      <c r="M66" s="776" t="s">
        <v>202</v>
      </c>
      <c r="N66" s="763" t="s">
        <v>132</v>
      </c>
      <c r="O66" s="756" t="s">
        <v>53</v>
      </c>
      <c r="P66" s="760">
        <f t="shared" si="18"/>
        <v>61</v>
      </c>
      <c r="Q66" s="702">
        <v>45809</v>
      </c>
      <c r="R66" s="757">
        <v>45870</v>
      </c>
      <c r="S66" s="772" t="s">
        <v>133</v>
      </c>
      <c r="T66" s="758" t="s">
        <v>92</v>
      </c>
      <c r="U66" s="759" t="s">
        <v>137</v>
      </c>
      <c r="V66" s="741" t="str">
        <f t="shared" si="27"/>
        <v>FY26 inter</v>
      </c>
      <c r="W66" s="742" t="s">
        <v>158</v>
      </c>
      <c r="X66" s="759" t="str">
        <f t="shared" si="7"/>
        <v>USAP Air</v>
      </c>
      <c r="Y66" s="320" t="s">
        <v>45</v>
      </c>
      <c r="Z66" s="320" t="s">
        <v>45</v>
      </c>
      <c r="AA66" s="320" t="s">
        <v>45</v>
      </c>
      <c r="AB66" s="320" t="s">
        <v>45</v>
      </c>
      <c r="AC66" s="770">
        <v>0.25</v>
      </c>
      <c r="AD66" s="702">
        <v>45962</v>
      </c>
      <c r="AE66" s="754" t="str">
        <f t="shared" si="42"/>
        <v>FY26 intra</v>
      </c>
      <c r="AF66" s="363" t="str">
        <f t="shared" si="39"/>
        <v>FY26 LC-130</v>
      </c>
      <c r="AG66" s="320" t="s">
        <v>45</v>
      </c>
      <c r="AH66" s="320" t="s">
        <v>45</v>
      </c>
      <c r="AI66" s="320" t="s">
        <v>45</v>
      </c>
      <c r="AJ66" s="771">
        <f t="shared" si="43"/>
        <v>0.25</v>
      </c>
      <c r="AK66" s="53">
        <v>45986</v>
      </c>
      <c r="AL66" s="53">
        <v>46001</v>
      </c>
      <c r="AM66" s="761">
        <f t="shared" si="24"/>
        <v>15</v>
      </c>
      <c r="AN66" s="761">
        <f t="shared" si="9"/>
        <v>131</v>
      </c>
      <c r="AO66" s="762" t="s">
        <v>56</v>
      </c>
      <c r="AP66" s="762" t="s">
        <v>148</v>
      </c>
      <c r="AQ66" s="702">
        <v>44477</v>
      </c>
      <c r="AR66" s="762" t="s">
        <v>58</v>
      </c>
      <c r="AS66" s="702">
        <v>44477</v>
      </c>
      <c r="AT66" s="762" t="s">
        <v>219</v>
      </c>
    </row>
    <row r="67" spans="1:82" s="60" customFormat="1" ht="20" x14ac:dyDescent="0.2">
      <c r="A67" s="273"/>
      <c r="B67" s="273"/>
      <c r="C67" s="279"/>
      <c r="D67" s="280" t="s">
        <v>222</v>
      </c>
      <c r="E67" s="281"/>
      <c r="F67" s="34"/>
      <c r="G67" s="34" t="s">
        <v>47</v>
      </c>
      <c r="H67" s="40">
        <f>J67/(1360*0.7)</f>
        <v>6.995798319327732</v>
      </c>
      <c r="I67" s="41"/>
      <c r="J67" s="41">
        <f>SUM(J35:J66)</f>
        <v>6660</v>
      </c>
      <c r="K67" s="41"/>
      <c r="L67" s="42">
        <f>SUM(L35:L66)</f>
        <v>96104</v>
      </c>
      <c r="M67" s="42"/>
      <c r="N67" s="42"/>
      <c r="O67" s="42"/>
      <c r="P67" s="52"/>
      <c r="Q67" s="52"/>
      <c r="R67" s="52"/>
      <c r="S67" s="43"/>
      <c r="T67" s="44"/>
      <c r="U67" s="43"/>
      <c r="V67" s="369" t="str">
        <f t="shared" si="27"/>
        <v/>
      </c>
      <c r="W67" s="44"/>
      <c r="X67" s="44"/>
      <c r="Y67" s="369"/>
      <c r="Z67" s="369"/>
      <c r="AA67" s="369"/>
      <c r="AB67" s="369"/>
      <c r="AC67" s="368"/>
      <c r="AD67" s="52"/>
      <c r="AE67" s="369"/>
      <c r="AF67" s="369"/>
      <c r="AG67" s="369"/>
      <c r="AH67" s="369"/>
      <c r="AI67" s="369"/>
      <c r="AJ67" s="368"/>
      <c r="AK67" s="52"/>
      <c r="AL67" s="52"/>
      <c r="AM67" s="657"/>
      <c r="AN67" s="657"/>
      <c r="AO67" s="369"/>
      <c r="AP67" s="369"/>
      <c r="AQ67" s="52"/>
      <c r="AR67" s="369"/>
      <c r="AS67" s="52"/>
      <c r="AT67" s="369"/>
      <c r="AU67" s="8"/>
      <c r="AV67" s="8"/>
    </row>
    <row r="68" spans="1:82" ht="19" x14ac:dyDescent="0.2">
      <c r="A68" s="683" t="s">
        <v>223</v>
      </c>
      <c r="B68" s="683"/>
      <c r="C68" s="683"/>
      <c r="D68" s="684"/>
      <c r="E68" s="269"/>
      <c r="F68" s="269"/>
      <c r="G68" s="269"/>
      <c r="H68" s="269"/>
      <c r="I68" s="269"/>
      <c r="J68" s="269"/>
      <c r="K68" s="269"/>
      <c r="L68" s="269"/>
      <c r="M68" s="269"/>
      <c r="N68" s="269"/>
      <c r="O68" s="751"/>
      <c r="P68" s="751"/>
      <c r="Q68" s="270"/>
      <c r="R68" s="752"/>
      <c r="S68" s="751"/>
      <c r="T68" s="751"/>
      <c r="U68" s="753"/>
      <c r="V68" s="754"/>
      <c r="W68" s="751"/>
      <c r="X68" s="751"/>
      <c r="Y68" s="812"/>
      <c r="Z68" s="813"/>
      <c r="AA68" s="813"/>
      <c r="AB68" s="814"/>
      <c r="AC68" s="363"/>
      <c r="AD68" s="270"/>
      <c r="AE68" s="754"/>
      <c r="AF68" s="363" t="str">
        <f t="shared" si="39"/>
        <v/>
      </c>
      <c r="AG68" s="363"/>
      <c r="AH68" s="363"/>
      <c r="AI68" s="363"/>
      <c r="AJ68" s="363"/>
      <c r="AK68" s="752"/>
      <c r="AL68" s="752"/>
      <c r="AM68" s="755"/>
      <c r="AN68" s="755"/>
      <c r="AO68" s="754"/>
      <c r="AP68" s="754"/>
      <c r="AQ68" s="752"/>
      <c r="AR68" s="754"/>
      <c r="AS68" s="752"/>
      <c r="AT68" s="363"/>
      <c r="AW68" s="60"/>
      <c r="AX68" s="60"/>
      <c r="AY68" s="60"/>
      <c r="AZ68" s="60"/>
      <c r="BA68" s="60"/>
      <c r="BB68" s="60"/>
      <c r="BC68" s="60"/>
      <c r="BD68" s="60"/>
      <c r="BE68" s="60"/>
      <c r="BF68" s="60"/>
      <c r="BG68" s="60"/>
      <c r="BH68" s="60"/>
      <c r="BI68" s="60"/>
      <c r="BJ68" s="60"/>
      <c r="BK68" s="60"/>
      <c r="BL68" s="60"/>
      <c r="BM68" s="60"/>
      <c r="BN68" s="60"/>
      <c r="BO68" s="60"/>
      <c r="BP68" s="60"/>
      <c r="BQ68" s="60"/>
      <c r="BR68" s="60"/>
      <c r="BS68" s="60"/>
      <c r="BT68" s="60"/>
      <c r="BU68" s="60"/>
      <c r="BV68" s="60"/>
      <c r="BW68" s="60"/>
      <c r="BX68" s="60"/>
      <c r="BY68" s="60"/>
      <c r="BZ68" s="60"/>
      <c r="CA68" s="60"/>
      <c r="CB68" s="60"/>
      <c r="CC68" s="60"/>
      <c r="CD68" s="60"/>
    </row>
    <row r="69" spans="1:82" ht="34" x14ac:dyDescent="0.2">
      <c r="A69" s="704">
        <v>1.4</v>
      </c>
      <c r="B69" s="39" t="s">
        <v>177</v>
      </c>
      <c r="C69" s="17" t="s">
        <v>224</v>
      </c>
      <c r="D69" s="1" t="s">
        <v>225</v>
      </c>
      <c r="E69" s="28">
        <v>66</v>
      </c>
      <c r="F69" s="28">
        <v>30</v>
      </c>
      <c r="G69" s="28">
        <v>14</v>
      </c>
      <c r="H69" s="20">
        <v>7</v>
      </c>
      <c r="I69" s="4">
        <f>ROUNDUP(E69*F69*G69/1728,0)</f>
        <v>17</v>
      </c>
      <c r="J69" s="4">
        <f>I69*H69</f>
        <v>119</v>
      </c>
      <c r="K69" s="4">
        <v>200</v>
      </c>
      <c r="L69" s="4">
        <f>IF(ISERROR(SEARCH("totals", C69)),H69*K69, "")</f>
        <v>1400</v>
      </c>
      <c r="M69" s="28" t="s">
        <v>202</v>
      </c>
      <c r="N69" s="7" t="s">
        <v>45</v>
      </c>
      <c r="O69" s="756" t="s">
        <v>226</v>
      </c>
      <c r="P69" s="760">
        <f t="shared" ref="P69:P76" si="44">R69-Q69</f>
        <v>2</v>
      </c>
      <c r="Q69" s="702">
        <v>44847</v>
      </c>
      <c r="R69" s="757">
        <v>44849</v>
      </c>
      <c r="S69" s="758" t="s">
        <v>227</v>
      </c>
      <c r="T69" s="758" t="s">
        <v>92</v>
      </c>
      <c r="U69" s="759" t="s">
        <v>134</v>
      </c>
      <c r="V69" s="741" t="str">
        <f t="shared" ref="V69:V77" si="45">IF(ISBLANK(AD69),"",IFERROR(LOOKUP(AD69,FY_dates, inter_label),AD69))</f>
        <v>FY23 inter</v>
      </c>
      <c r="W69" s="742" t="s">
        <v>62</v>
      </c>
      <c r="X69" s="759" t="str">
        <f t="shared" si="7"/>
        <v>USAP Vessel</v>
      </c>
      <c r="Y69" s="320" t="s">
        <v>45</v>
      </c>
      <c r="Z69" s="320" t="s">
        <v>45</v>
      </c>
      <c r="AA69" s="320">
        <v>1</v>
      </c>
      <c r="AB69" s="320" t="s">
        <v>45</v>
      </c>
      <c r="AC69" s="320" t="s">
        <v>45</v>
      </c>
      <c r="AD69" s="709">
        <v>44963</v>
      </c>
      <c r="AE69" s="754" t="str">
        <f t="shared" ref="AE69:AE76" si="46">IF(ISBLANK(AK69),"",IFERROR(LOOKUP(AK69,FY_dates, intra_label),AK69))</f>
        <v>FY24 intra</v>
      </c>
      <c r="AF69" s="363" t="str">
        <f t="shared" si="39"/>
        <v>FY24 SPOT 1</v>
      </c>
      <c r="AG69" s="378">
        <v>0.5</v>
      </c>
      <c r="AH69" s="320" t="s">
        <v>45</v>
      </c>
      <c r="AI69" s="320" t="s">
        <v>45</v>
      </c>
      <c r="AJ69" s="770" t="s">
        <v>45</v>
      </c>
      <c r="AK69" s="702">
        <v>45261</v>
      </c>
      <c r="AL69" s="702">
        <v>45641</v>
      </c>
      <c r="AM69" s="761">
        <f t="shared" si="24"/>
        <v>380</v>
      </c>
      <c r="AN69" s="761">
        <f t="shared" si="9"/>
        <v>792</v>
      </c>
      <c r="AO69" s="762" t="s">
        <v>56</v>
      </c>
      <c r="AP69" s="762" t="s">
        <v>228</v>
      </c>
      <c r="AQ69" s="702">
        <v>44482</v>
      </c>
      <c r="AR69" s="762" t="s">
        <v>148</v>
      </c>
      <c r="AS69" s="702">
        <v>44662</v>
      </c>
      <c r="AT69" s="762" t="s">
        <v>229</v>
      </c>
    </row>
    <row r="70" spans="1:82" ht="51" x14ac:dyDescent="0.2">
      <c r="A70" s="704">
        <v>1.4</v>
      </c>
      <c r="B70" s="39" t="s">
        <v>177</v>
      </c>
      <c r="C70" s="17" t="s">
        <v>230</v>
      </c>
      <c r="D70" s="1" t="s">
        <v>231</v>
      </c>
      <c r="E70" s="28">
        <v>48</v>
      </c>
      <c r="F70" s="28">
        <v>65</v>
      </c>
      <c r="G70" s="28">
        <v>71</v>
      </c>
      <c r="H70" s="20">
        <v>7</v>
      </c>
      <c r="I70" s="4">
        <f t="shared" ref="I70:I76" si="47">ROUNDUP(E70*F70*G70/1728,0)</f>
        <v>129</v>
      </c>
      <c r="J70" s="4">
        <f t="shared" ref="J70:J76" si="48">I70*H70</f>
        <v>903</v>
      </c>
      <c r="K70" s="4">
        <v>1336</v>
      </c>
      <c r="L70" s="4">
        <f>IF(ISERROR(SEARCH("totals", C70)),H70*K70, "")</f>
        <v>9352</v>
      </c>
      <c r="M70" s="28" t="s">
        <v>52</v>
      </c>
      <c r="N70" s="70" t="s">
        <v>232</v>
      </c>
      <c r="O70" s="756" t="s">
        <v>226</v>
      </c>
      <c r="P70" s="760">
        <f t="shared" si="44"/>
        <v>106</v>
      </c>
      <c r="Q70" s="879">
        <v>44743</v>
      </c>
      <c r="R70" s="757">
        <v>44849</v>
      </c>
      <c r="S70" s="758" t="s">
        <v>227</v>
      </c>
      <c r="T70" s="758" t="s">
        <v>92</v>
      </c>
      <c r="U70" s="759" t="s">
        <v>134</v>
      </c>
      <c r="V70" s="741" t="str">
        <f t="shared" si="45"/>
        <v>FY23 inter</v>
      </c>
      <c r="W70" s="742" t="s">
        <v>62</v>
      </c>
      <c r="X70" s="759" t="str">
        <f t="shared" si="7"/>
        <v>USAP Vessel</v>
      </c>
      <c r="Y70" s="320" t="s">
        <v>45</v>
      </c>
      <c r="Z70" s="320" t="s">
        <v>45</v>
      </c>
      <c r="AA70" s="320">
        <v>2</v>
      </c>
      <c r="AB70" s="320" t="s">
        <v>45</v>
      </c>
      <c r="AC70" s="320" t="s">
        <v>45</v>
      </c>
      <c r="AD70" s="709">
        <v>44963</v>
      </c>
      <c r="AE70" s="754" t="str">
        <f t="shared" si="46"/>
        <v>FY25 intra</v>
      </c>
      <c r="AF70" s="363" t="str">
        <f t="shared" si="39"/>
        <v>FY25 SPOT 1</v>
      </c>
      <c r="AG70" s="320">
        <v>0.5</v>
      </c>
      <c r="AH70" s="320" t="s">
        <v>45</v>
      </c>
      <c r="AI70" s="320" t="s">
        <v>45</v>
      </c>
      <c r="AJ70" s="770" t="s">
        <v>45</v>
      </c>
      <c r="AK70" s="702">
        <v>45627</v>
      </c>
      <c r="AL70" s="702">
        <v>45641</v>
      </c>
      <c r="AM70" s="761">
        <f t="shared" si="24"/>
        <v>14</v>
      </c>
      <c r="AN70" s="761">
        <f t="shared" si="9"/>
        <v>792</v>
      </c>
      <c r="AO70" s="762" t="s">
        <v>56</v>
      </c>
      <c r="AP70" s="762" t="s">
        <v>228</v>
      </c>
      <c r="AQ70" s="702">
        <v>44482</v>
      </c>
      <c r="AR70" s="762" t="s">
        <v>148</v>
      </c>
      <c r="AS70" s="702">
        <v>44662</v>
      </c>
      <c r="AT70" s="762" t="s">
        <v>233</v>
      </c>
    </row>
    <row r="71" spans="1:82" ht="85" x14ac:dyDescent="0.2">
      <c r="A71" s="704">
        <v>1.4</v>
      </c>
      <c r="B71" s="39" t="s">
        <v>177</v>
      </c>
      <c r="C71" s="17" t="s">
        <v>234</v>
      </c>
      <c r="D71" s="17" t="s">
        <v>235</v>
      </c>
      <c r="E71" s="28">
        <v>72</v>
      </c>
      <c r="F71" s="28">
        <v>48</v>
      </c>
      <c r="G71" s="28">
        <v>48</v>
      </c>
      <c r="H71" s="20">
        <v>2</v>
      </c>
      <c r="I71" s="4">
        <f t="shared" si="47"/>
        <v>96</v>
      </c>
      <c r="J71" s="4">
        <f t="shared" si="48"/>
        <v>192</v>
      </c>
      <c r="K71" s="4">
        <v>1000</v>
      </c>
      <c r="L71" s="4">
        <f t="shared" si="6"/>
        <v>2000</v>
      </c>
      <c r="M71" s="28" t="s">
        <v>131</v>
      </c>
      <c r="N71" s="70" t="s">
        <v>236</v>
      </c>
      <c r="O71" s="756" t="s">
        <v>226</v>
      </c>
      <c r="P71" s="760">
        <f t="shared" si="44"/>
        <v>477</v>
      </c>
      <c r="Q71" s="702">
        <v>45103</v>
      </c>
      <c r="R71" s="757">
        <v>45580</v>
      </c>
      <c r="S71" s="758" t="s">
        <v>227</v>
      </c>
      <c r="T71" s="758" t="s">
        <v>92</v>
      </c>
      <c r="U71" s="742" t="s">
        <v>134</v>
      </c>
      <c r="V71" s="741" t="str">
        <f t="shared" si="45"/>
        <v>FY25 inter</v>
      </c>
      <c r="W71" s="742" t="s">
        <v>237</v>
      </c>
      <c r="X71" s="759" t="str">
        <f t="shared" si="7"/>
        <v>USAP Vessel</v>
      </c>
      <c r="Y71" s="320" t="s">
        <v>45</v>
      </c>
      <c r="Z71" s="320">
        <v>0.25</v>
      </c>
      <c r="AA71" s="320" t="s">
        <v>45</v>
      </c>
      <c r="AB71" s="320" t="s">
        <v>45</v>
      </c>
      <c r="AC71" s="320" t="s">
        <v>45</v>
      </c>
      <c r="AD71" s="709">
        <v>45694</v>
      </c>
      <c r="AE71" s="754" t="str">
        <f t="shared" si="46"/>
        <v>FY25 intra</v>
      </c>
      <c r="AF71" s="363" t="str">
        <f t="shared" si="39"/>
        <v>FY25 LC-130</v>
      </c>
      <c r="AG71" s="320" t="s">
        <v>45</v>
      </c>
      <c r="AH71" s="320" t="s">
        <v>45</v>
      </c>
      <c r="AI71" s="320" t="s">
        <v>45</v>
      </c>
      <c r="AJ71" s="770">
        <v>0.5</v>
      </c>
      <c r="AK71" s="702">
        <v>45703</v>
      </c>
      <c r="AL71" s="702">
        <v>46001</v>
      </c>
      <c r="AM71" s="761">
        <f t="shared" si="24"/>
        <v>298</v>
      </c>
      <c r="AN71" s="761">
        <f t="shared" si="9"/>
        <v>421</v>
      </c>
      <c r="AO71" s="762" t="s">
        <v>56</v>
      </c>
      <c r="AP71" s="762" t="s">
        <v>228</v>
      </c>
      <c r="AQ71" s="702">
        <v>44459</v>
      </c>
      <c r="AR71" s="762" t="s">
        <v>148</v>
      </c>
      <c r="AS71" s="702">
        <v>44662</v>
      </c>
      <c r="AT71" s="762" t="s">
        <v>238</v>
      </c>
    </row>
    <row r="72" spans="1:82" ht="68" x14ac:dyDescent="0.2">
      <c r="A72" s="704">
        <v>1.4</v>
      </c>
      <c r="B72" s="39" t="s">
        <v>177</v>
      </c>
      <c r="C72" s="17" t="s">
        <v>239</v>
      </c>
      <c r="D72" s="17" t="s">
        <v>240</v>
      </c>
      <c r="E72" s="28">
        <v>72</v>
      </c>
      <c r="F72" s="28">
        <v>48</v>
      </c>
      <c r="G72" s="28">
        <v>48</v>
      </c>
      <c r="H72" s="20">
        <v>5</v>
      </c>
      <c r="I72" s="4">
        <f t="shared" si="47"/>
        <v>96</v>
      </c>
      <c r="J72" s="4">
        <f t="shared" si="48"/>
        <v>480</v>
      </c>
      <c r="K72" s="4">
        <v>1000</v>
      </c>
      <c r="L72" s="4">
        <f t="shared" si="6"/>
        <v>5000</v>
      </c>
      <c r="M72" s="28" t="s">
        <v>131</v>
      </c>
      <c r="N72" s="70" t="s">
        <v>236</v>
      </c>
      <c r="O72" s="756" t="s">
        <v>226</v>
      </c>
      <c r="P72" s="760">
        <f t="shared" si="44"/>
        <v>379</v>
      </c>
      <c r="Q72" s="702">
        <v>45201</v>
      </c>
      <c r="R72" s="757">
        <v>45580</v>
      </c>
      <c r="S72" s="758" t="s">
        <v>227</v>
      </c>
      <c r="T72" s="758" t="s">
        <v>92</v>
      </c>
      <c r="U72" s="742" t="s">
        <v>134</v>
      </c>
      <c r="V72" s="741" t="str">
        <f t="shared" si="45"/>
        <v>FY25 inter</v>
      </c>
      <c r="W72" s="742" t="s">
        <v>237</v>
      </c>
      <c r="X72" s="759" t="str">
        <f t="shared" si="7"/>
        <v>USAP Vessel</v>
      </c>
      <c r="Y72" s="320" t="s">
        <v>45</v>
      </c>
      <c r="Z72" s="320" t="s">
        <v>45</v>
      </c>
      <c r="AA72" s="320">
        <v>2</v>
      </c>
      <c r="AB72" s="320" t="s">
        <v>45</v>
      </c>
      <c r="AC72" s="320" t="s">
        <v>45</v>
      </c>
      <c r="AD72" s="709">
        <v>45694</v>
      </c>
      <c r="AE72" s="754" t="str">
        <f t="shared" si="46"/>
        <v>FY26 intra</v>
      </c>
      <c r="AF72" s="363" t="str">
        <f t="shared" si="39"/>
        <v>FY26 LC-130</v>
      </c>
      <c r="AG72" s="320" t="s">
        <v>45</v>
      </c>
      <c r="AH72" s="320" t="s">
        <v>45</v>
      </c>
      <c r="AI72" s="320" t="s">
        <v>45</v>
      </c>
      <c r="AJ72" s="770">
        <v>1</v>
      </c>
      <c r="AK72" s="702">
        <v>45986</v>
      </c>
      <c r="AL72" s="702">
        <v>46001</v>
      </c>
      <c r="AM72" s="761">
        <f t="shared" si="24"/>
        <v>15</v>
      </c>
      <c r="AN72" s="761">
        <f t="shared" si="9"/>
        <v>421</v>
      </c>
      <c r="AO72" s="762" t="s">
        <v>56</v>
      </c>
      <c r="AP72" s="762" t="s">
        <v>228</v>
      </c>
      <c r="AQ72" s="702">
        <v>44459</v>
      </c>
      <c r="AR72" s="762" t="s">
        <v>148</v>
      </c>
      <c r="AS72" s="702">
        <v>44662</v>
      </c>
      <c r="AT72" s="762" t="s">
        <v>241</v>
      </c>
    </row>
    <row r="73" spans="1:82" ht="51" x14ac:dyDescent="0.2">
      <c r="A73" s="704">
        <v>1.4</v>
      </c>
      <c r="B73" s="39" t="s">
        <v>177</v>
      </c>
      <c r="C73" s="17" t="s">
        <v>660</v>
      </c>
      <c r="D73" s="17" t="s">
        <v>242</v>
      </c>
      <c r="E73" s="28">
        <v>47</v>
      </c>
      <c r="F73" s="28">
        <v>47</v>
      </c>
      <c r="G73" s="28">
        <v>39</v>
      </c>
      <c r="H73" s="20">
        <v>7</v>
      </c>
      <c r="I73" s="4">
        <f t="shared" si="47"/>
        <v>50</v>
      </c>
      <c r="J73" s="4">
        <f t="shared" si="48"/>
        <v>350</v>
      </c>
      <c r="K73" s="4">
        <v>766</v>
      </c>
      <c r="L73" s="4">
        <f t="shared" si="6"/>
        <v>5362</v>
      </c>
      <c r="M73" s="28" t="s">
        <v>202</v>
      </c>
      <c r="N73" s="70" t="s">
        <v>236</v>
      </c>
      <c r="O73" s="756" t="s">
        <v>226</v>
      </c>
      <c r="P73" s="760">
        <f t="shared" si="44"/>
        <v>563</v>
      </c>
      <c r="Q73" s="702">
        <v>45017</v>
      </c>
      <c r="R73" s="757">
        <v>45580</v>
      </c>
      <c r="S73" s="758" t="s">
        <v>227</v>
      </c>
      <c r="T73" s="758" t="s">
        <v>92</v>
      </c>
      <c r="U73" s="742" t="s">
        <v>134</v>
      </c>
      <c r="V73" s="741" t="str">
        <f t="shared" si="45"/>
        <v>FY25 inter</v>
      </c>
      <c r="W73" s="742" t="s">
        <v>237</v>
      </c>
      <c r="X73" s="759" t="str">
        <f t="shared" si="7"/>
        <v>USAP Vessel</v>
      </c>
      <c r="Y73" s="320" t="s">
        <v>45</v>
      </c>
      <c r="Z73" s="320" t="s">
        <v>45</v>
      </c>
      <c r="AA73" s="320">
        <v>1</v>
      </c>
      <c r="AB73" s="320" t="s">
        <v>45</v>
      </c>
      <c r="AC73" s="320" t="s">
        <v>45</v>
      </c>
      <c r="AD73" s="709">
        <v>45694</v>
      </c>
      <c r="AE73" s="754" t="str">
        <f t="shared" si="46"/>
        <v>FY26 intra</v>
      </c>
      <c r="AF73" s="363" t="str">
        <f t="shared" si="39"/>
        <v>FY26 SPOT 1</v>
      </c>
      <c r="AG73" s="320">
        <v>1</v>
      </c>
      <c r="AH73" s="320" t="s">
        <v>45</v>
      </c>
      <c r="AI73" s="320" t="s">
        <v>45</v>
      </c>
      <c r="AJ73" s="770" t="s">
        <v>45</v>
      </c>
      <c r="AK73" s="702">
        <v>45992</v>
      </c>
      <c r="AL73" s="702">
        <v>45993</v>
      </c>
      <c r="AM73" s="761">
        <f t="shared" si="24"/>
        <v>1</v>
      </c>
      <c r="AN73" s="761">
        <f t="shared" si="9"/>
        <v>413</v>
      </c>
      <c r="AO73" s="762" t="s">
        <v>56</v>
      </c>
      <c r="AP73" s="762" t="s">
        <v>228</v>
      </c>
      <c r="AQ73" s="702">
        <v>44459</v>
      </c>
      <c r="AR73" s="762" t="s">
        <v>148</v>
      </c>
      <c r="AS73" s="702">
        <v>44480</v>
      </c>
      <c r="AT73" s="762" t="s">
        <v>243</v>
      </c>
    </row>
    <row r="74" spans="1:82" ht="68" x14ac:dyDescent="0.2">
      <c r="A74" s="704">
        <v>1.4</v>
      </c>
      <c r="B74" s="39" t="s">
        <v>177</v>
      </c>
      <c r="C74" s="17" t="s">
        <v>244</v>
      </c>
      <c r="D74" s="17" t="s">
        <v>242</v>
      </c>
      <c r="E74" s="28">
        <v>96</v>
      </c>
      <c r="F74" s="28">
        <v>96</v>
      </c>
      <c r="G74" s="28">
        <v>96</v>
      </c>
      <c r="H74" s="20">
        <v>7</v>
      </c>
      <c r="I74" s="4">
        <f t="shared" si="47"/>
        <v>512</v>
      </c>
      <c r="J74" s="4">
        <f t="shared" si="48"/>
        <v>3584</v>
      </c>
      <c r="K74" s="4">
        <v>15000</v>
      </c>
      <c r="L74" s="4">
        <f t="shared" si="6"/>
        <v>105000</v>
      </c>
      <c r="M74" s="28" t="s">
        <v>202</v>
      </c>
      <c r="N74" s="70" t="s">
        <v>236</v>
      </c>
      <c r="O74" s="756" t="s">
        <v>226</v>
      </c>
      <c r="P74" s="760">
        <f t="shared" si="44"/>
        <v>31</v>
      </c>
      <c r="Q74" s="702">
        <v>45183</v>
      </c>
      <c r="R74" s="757">
        <v>45214</v>
      </c>
      <c r="S74" s="758" t="s">
        <v>227</v>
      </c>
      <c r="T74" s="758" t="s">
        <v>92</v>
      </c>
      <c r="U74" s="742" t="s">
        <v>134</v>
      </c>
      <c r="V74" s="741" t="s">
        <v>245</v>
      </c>
      <c r="W74" s="742" t="s">
        <v>168</v>
      </c>
      <c r="X74" s="759" t="str">
        <f t="shared" si="7"/>
        <v>USAP Vessel</v>
      </c>
      <c r="Y74" s="320" t="s">
        <v>45</v>
      </c>
      <c r="Z74" s="320" t="s">
        <v>45</v>
      </c>
      <c r="AA74" s="320">
        <v>2</v>
      </c>
      <c r="AB74" s="320" t="s">
        <v>45</v>
      </c>
      <c r="AC74" s="320" t="s">
        <v>45</v>
      </c>
      <c r="AD74" s="709">
        <v>45694</v>
      </c>
      <c r="AE74" s="754" t="str">
        <f t="shared" si="46"/>
        <v>FY26 intra</v>
      </c>
      <c r="AF74" s="363" t="str">
        <f t="shared" si="39"/>
        <v>FY26 SPOT 1</v>
      </c>
      <c r="AG74" s="320">
        <v>1.5</v>
      </c>
      <c r="AH74" s="320" t="s">
        <v>45</v>
      </c>
      <c r="AI74" s="320" t="s">
        <v>45</v>
      </c>
      <c r="AJ74" s="770" t="s">
        <v>45</v>
      </c>
      <c r="AK74" s="702">
        <v>45992</v>
      </c>
      <c r="AL74" s="702">
        <v>45993</v>
      </c>
      <c r="AM74" s="761">
        <f t="shared" si="24"/>
        <v>1</v>
      </c>
      <c r="AN74" s="761">
        <f t="shared" ref="AN74:AN106" si="49">IFERROR(AL74-R74,R74)</f>
        <v>779</v>
      </c>
      <c r="AO74" s="762" t="s">
        <v>56</v>
      </c>
      <c r="AP74" s="762" t="s">
        <v>228</v>
      </c>
      <c r="AQ74" s="702">
        <v>44459</v>
      </c>
      <c r="AR74" s="762" t="s">
        <v>148</v>
      </c>
      <c r="AS74" s="702">
        <v>44662</v>
      </c>
      <c r="AT74" s="762" t="s">
        <v>246</v>
      </c>
    </row>
    <row r="75" spans="1:82" ht="48" x14ac:dyDescent="0.2">
      <c r="A75" s="636">
        <v>1.3</v>
      </c>
      <c r="B75" s="39" t="s">
        <v>177</v>
      </c>
      <c r="C75" s="3" t="s">
        <v>247</v>
      </c>
      <c r="D75" s="3" t="s">
        <v>248</v>
      </c>
      <c r="E75" s="20">
        <v>40</v>
      </c>
      <c r="F75" s="20">
        <v>48</v>
      </c>
      <c r="G75" s="776">
        <v>46</v>
      </c>
      <c r="H75" s="20">
        <v>25</v>
      </c>
      <c r="I75" s="4">
        <f t="shared" si="47"/>
        <v>52</v>
      </c>
      <c r="J75" s="4">
        <f t="shared" si="48"/>
        <v>1300</v>
      </c>
      <c r="K75" s="4">
        <v>573</v>
      </c>
      <c r="L75" s="4">
        <f>IF(ISERROR(SEARCH("totals", C75)),H75*K75, "")</f>
        <v>14325</v>
      </c>
      <c r="M75" s="776" t="s">
        <v>249</v>
      </c>
      <c r="N75" s="5" t="s">
        <v>198</v>
      </c>
      <c r="O75" s="9" t="s">
        <v>226</v>
      </c>
      <c r="P75" s="760">
        <f t="shared" si="44"/>
        <v>686</v>
      </c>
      <c r="Q75" s="702">
        <v>45184</v>
      </c>
      <c r="R75" s="757">
        <v>45870</v>
      </c>
      <c r="S75" s="758" t="s">
        <v>227</v>
      </c>
      <c r="T75" s="758" t="s">
        <v>92</v>
      </c>
      <c r="U75" s="742" t="s">
        <v>137</v>
      </c>
      <c r="V75" s="741" t="str">
        <f t="shared" si="45"/>
        <v>FY26 inter</v>
      </c>
      <c r="W75" s="742" t="s">
        <v>158</v>
      </c>
      <c r="X75" s="759" t="str">
        <f t="shared" ref="X75:X106" si="50">IF(ISNUMBER(SEARCH("Vessel",W75)),"USAP Vessel",IF(ISNUMBER(SEARCH("Comsur",W75)),"USAP Air",W75))</f>
        <v>USAP Air</v>
      </c>
      <c r="Y75" s="320" t="s">
        <v>45</v>
      </c>
      <c r="Z75" s="320" t="s">
        <v>45</v>
      </c>
      <c r="AA75" s="320" t="s">
        <v>45</v>
      </c>
      <c r="AB75" s="320" t="s">
        <v>45</v>
      </c>
      <c r="AC75" s="770">
        <v>3</v>
      </c>
      <c r="AD75" s="702">
        <v>45962</v>
      </c>
      <c r="AE75" s="754" t="str">
        <f t="shared" si="46"/>
        <v>FY26 intra</v>
      </c>
      <c r="AF75" s="363" t="str">
        <f t="shared" si="39"/>
        <v>FY26 LC-130</v>
      </c>
      <c r="AG75" s="320" t="s">
        <v>45</v>
      </c>
      <c r="AH75" s="320" t="s">
        <v>45</v>
      </c>
      <c r="AI75" s="320" t="s">
        <v>45</v>
      </c>
      <c r="AJ75" s="770">
        <v>3</v>
      </c>
      <c r="AK75" s="702">
        <v>45986</v>
      </c>
      <c r="AL75" s="702">
        <v>46001</v>
      </c>
      <c r="AM75" s="761">
        <f t="shared" si="24"/>
        <v>15</v>
      </c>
      <c r="AN75" s="761">
        <f t="shared" si="49"/>
        <v>131</v>
      </c>
      <c r="AO75" s="762" t="s">
        <v>56</v>
      </c>
      <c r="AP75" s="762" t="s">
        <v>194</v>
      </c>
      <c r="AQ75" s="702">
        <v>44459</v>
      </c>
      <c r="AR75" s="762" t="s">
        <v>148</v>
      </c>
      <c r="AS75" s="702">
        <v>44662</v>
      </c>
      <c r="AT75" s="621" t="s">
        <v>250</v>
      </c>
    </row>
    <row r="76" spans="1:82" ht="51" x14ac:dyDescent="0.2">
      <c r="A76" s="638">
        <v>1.3</v>
      </c>
      <c r="B76" s="284" t="s">
        <v>177</v>
      </c>
      <c r="C76" s="278" t="s">
        <v>247</v>
      </c>
      <c r="D76" s="278" t="s">
        <v>251</v>
      </c>
      <c r="E76" s="20">
        <v>238</v>
      </c>
      <c r="F76" s="20">
        <v>96</v>
      </c>
      <c r="G76" s="776">
        <v>114</v>
      </c>
      <c r="H76" s="20">
        <v>0</v>
      </c>
      <c r="I76" s="4">
        <f t="shared" si="47"/>
        <v>1508</v>
      </c>
      <c r="J76" s="4">
        <f t="shared" si="48"/>
        <v>0</v>
      </c>
      <c r="K76" s="4">
        <v>5115</v>
      </c>
      <c r="L76" s="4">
        <f t="shared" si="6"/>
        <v>0</v>
      </c>
      <c r="M76" s="776" t="s">
        <v>249</v>
      </c>
      <c r="N76" s="5" t="s">
        <v>198</v>
      </c>
      <c r="O76" s="9" t="s">
        <v>226</v>
      </c>
      <c r="P76" s="760">
        <f t="shared" si="44"/>
        <v>686</v>
      </c>
      <c r="Q76" s="702">
        <v>45184</v>
      </c>
      <c r="R76" s="757">
        <v>45870</v>
      </c>
      <c r="S76" s="758" t="s">
        <v>227</v>
      </c>
      <c r="T76" s="758" t="s">
        <v>92</v>
      </c>
      <c r="U76" s="742" t="s">
        <v>137</v>
      </c>
      <c r="V76" s="741" t="str">
        <f t="shared" si="45"/>
        <v>FY26 inter</v>
      </c>
      <c r="W76" s="742" t="s">
        <v>158</v>
      </c>
      <c r="X76" s="759" t="str">
        <f t="shared" si="50"/>
        <v>USAP Air</v>
      </c>
      <c r="Y76" s="320" t="s">
        <v>45</v>
      </c>
      <c r="Z76" s="320" t="s">
        <v>45</v>
      </c>
      <c r="AA76" s="320" t="s">
        <v>45</v>
      </c>
      <c r="AB76" s="320" t="s">
        <v>45</v>
      </c>
      <c r="AC76" s="770">
        <v>6.25E-2</v>
      </c>
      <c r="AD76" s="702">
        <v>45962</v>
      </c>
      <c r="AE76" s="754" t="str">
        <f t="shared" si="46"/>
        <v>FY26 intra</v>
      </c>
      <c r="AF76" s="363" t="str">
        <f t="shared" si="39"/>
        <v>FY26 LC-130</v>
      </c>
      <c r="AG76" s="320" t="s">
        <v>45</v>
      </c>
      <c r="AH76" s="320" t="s">
        <v>45</v>
      </c>
      <c r="AI76" s="320" t="s">
        <v>45</v>
      </c>
      <c r="AJ76" s="770">
        <v>6.25E-2</v>
      </c>
      <c r="AK76" s="702">
        <v>45986</v>
      </c>
      <c r="AL76" s="702">
        <v>46001</v>
      </c>
      <c r="AM76" s="761">
        <f t="shared" si="24"/>
        <v>15</v>
      </c>
      <c r="AN76" s="761">
        <f t="shared" si="49"/>
        <v>131</v>
      </c>
      <c r="AO76" s="762" t="s">
        <v>56</v>
      </c>
      <c r="AP76" s="762" t="s">
        <v>194</v>
      </c>
      <c r="AQ76" s="702">
        <v>44459</v>
      </c>
      <c r="AR76" s="762" t="s">
        <v>148</v>
      </c>
      <c r="AS76" s="702">
        <v>44662</v>
      </c>
      <c r="AT76" s="762" t="s">
        <v>252</v>
      </c>
    </row>
    <row r="77" spans="1:82" s="60" customFormat="1" ht="20" x14ac:dyDescent="0.2">
      <c r="A77" s="273"/>
      <c r="B77" s="273"/>
      <c r="C77" s="279"/>
      <c r="D77" s="280" t="s">
        <v>253</v>
      </c>
      <c r="E77" s="281"/>
      <c r="F77" s="34"/>
      <c r="G77" s="34" t="s">
        <v>47</v>
      </c>
      <c r="H77" s="40">
        <f>J77/(1360*0.7)</f>
        <v>7.2773109243697487</v>
      </c>
      <c r="I77" s="41"/>
      <c r="J77" s="41">
        <f>SUM(J69:J76)</f>
        <v>6928</v>
      </c>
      <c r="K77" s="41"/>
      <c r="L77" s="42">
        <f>SUM(L69:L76)</f>
        <v>142439</v>
      </c>
      <c r="M77" s="42"/>
      <c r="N77" s="42"/>
      <c r="O77" s="42"/>
      <c r="P77" s="52"/>
      <c r="Q77" s="52"/>
      <c r="R77" s="52"/>
      <c r="S77" s="43"/>
      <c r="T77" s="44"/>
      <c r="U77" s="43"/>
      <c r="V77" s="369" t="str">
        <f t="shared" si="45"/>
        <v/>
      </c>
      <c r="W77" s="44"/>
      <c r="X77" s="369"/>
      <c r="Y77" s="369"/>
      <c r="Z77" s="369"/>
      <c r="AA77" s="369"/>
      <c r="AB77" s="369"/>
      <c r="AC77" s="368"/>
      <c r="AD77" s="52"/>
      <c r="AE77" s="369"/>
      <c r="AF77" s="369"/>
      <c r="AG77" s="369"/>
      <c r="AH77" s="369"/>
      <c r="AI77" s="369"/>
      <c r="AJ77" s="368"/>
      <c r="AK77" s="260"/>
      <c r="AL77" s="52"/>
      <c r="AM77" s="657"/>
      <c r="AN77" s="657"/>
      <c r="AO77" s="369"/>
      <c r="AP77" s="369"/>
      <c r="AQ77" s="52"/>
      <c r="AR77" s="369"/>
      <c r="AS77" s="52"/>
      <c r="AT77" s="369"/>
    </row>
    <row r="78" spans="1:82" ht="19" x14ac:dyDescent="0.2">
      <c r="A78" s="683" t="s">
        <v>254</v>
      </c>
      <c r="B78" s="679"/>
      <c r="C78" s="679"/>
      <c r="D78" s="387"/>
      <c r="E78" s="269"/>
      <c r="F78" s="269"/>
      <c r="G78" s="269"/>
      <c r="H78" s="269"/>
      <c r="I78" s="269"/>
      <c r="J78" s="269"/>
      <c r="K78" s="269"/>
      <c r="L78" s="269"/>
      <c r="M78" s="269"/>
      <c r="N78" s="269"/>
      <c r="O78" s="751"/>
      <c r="P78" s="751"/>
      <c r="Q78" s="270"/>
      <c r="R78" s="752"/>
      <c r="S78" s="751"/>
      <c r="T78" s="751"/>
      <c r="U78" s="753"/>
      <c r="V78" s="754"/>
      <c r="W78" s="751"/>
      <c r="X78" s="363"/>
      <c r="Y78" s="363"/>
      <c r="Z78" s="363"/>
      <c r="AA78" s="363"/>
      <c r="AB78" s="363"/>
      <c r="AC78" s="363"/>
      <c r="AD78" s="270"/>
      <c r="AE78" s="754"/>
      <c r="AF78" s="363" t="str">
        <f t="shared" si="39"/>
        <v/>
      </c>
      <c r="AG78" s="363"/>
      <c r="AH78" s="363"/>
      <c r="AI78" s="363"/>
      <c r="AJ78" s="363"/>
      <c r="AK78" s="271"/>
      <c r="AL78" s="752"/>
      <c r="AM78" s="755"/>
      <c r="AN78" s="755"/>
      <c r="AO78" s="754"/>
      <c r="AP78" s="754"/>
      <c r="AQ78" s="752"/>
      <c r="AR78" s="754"/>
      <c r="AS78" s="752"/>
      <c r="AT78" s="363"/>
    </row>
    <row r="79" spans="1:82" ht="34" x14ac:dyDescent="0.2">
      <c r="A79" s="638">
        <v>1.3</v>
      </c>
      <c r="B79" s="285" t="s">
        <v>177</v>
      </c>
      <c r="C79" s="278" t="s">
        <v>255</v>
      </c>
      <c r="D79" s="278" t="s">
        <v>256</v>
      </c>
      <c r="E79" s="20">
        <v>48</v>
      </c>
      <c r="F79" s="20">
        <v>48</v>
      </c>
      <c r="G79" s="20">
        <v>48</v>
      </c>
      <c r="H79" s="20">
        <v>1</v>
      </c>
      <c r="I79" s="4">
        <f>ROUNDUP(E79*F79*G79/1728,0)</f>
        <v>64</v>
      </c>
      <c r="J79" s="4">
        <f>E79*F79*G79/1728*H79</f>
        <v>64</v>
      </c>
      <c r="K79" s="4">
        <v>1500</v>
      </c>
      <c r="L79" s="4">
        <f t="shared" si="6"/>
        <v>1500</v>
      </c>
      <c r="M79" s="776" t="s">
        <v>131</v>
      </c>
      <c r="N79" s="5" t="s">
        <v>198</v>
      </c>
      <c r="O79" s="9" t="s">
        <v>257</v>
      </c>
      <c r="P79" s="760">
        <f>R79-Q79</f>
        <v>426</v>
      </c>
      <c r="Q79" s="702">
        <v>45444</v>
      </c>
      <c r="R79" s="757">
        <v>45870</v>
      </c>
      <c r="S79" s="758" t="s">
        <v>258</v>
      </c>
      <c r="T79" s="758" t="s">
        <v>92</v>
      </c>
      <c r="U79" s="742" t="s">
        <v>137</v>
      </c>
      <c r="V79" s="741" t="str">
        <f>IF(ISBLANK(AD79),"",IFERROR(LOOKUP(AD79,FY_dates, inter_label),AD79))</f>
        <v>FY26 inter</v>
      </c>
      <c r="W79" s="742" t="s">
        <v>158</v>
      </c>
      <c r="X79" s="759" t="str">
        <f t="shared" si="50"/>
        <v>USAP Air</v>
      </c>
      <c r="Y79" s="320" t="s">
        <v>45</v>
      </c>
      <c r="Z79" s="320" t="s">
        <v>45</v>
      </c>
      <c r="AA79" s="320" t="s">
        <v>45</v>
      </c>
      <c r="AB79" s="320" t="s">
        <v>45</v>
      </c>
      <c r="AC79" s="770">
        <v>0.25</v>
      </c>
      <c r="AD79" s="702">
        <v>45962</v>
      </c>
      <c r="AE79" s="754" t="str">
        <f>IF(ISBLANK(AK79),"",IFERROR(LOOKUP(AK79,FY_dates, intra_label),AK79))</f>
        <v>FY26 intra</v>
      </c>
      <c r="AF79" s="363" t="str">
        <f t="shared" si="39"/>
        <v>FY26 LC-130</v>
      </c>
      <c r="AG79" s="320" t="s">
        <v>45</v>
      </c>
      <c r="AH79" s="320" t="s">
        <v>45</v>
      </c>
      <c r="AI79" s="320" t="s">
        <v>45</v>
      </c>
      <c r="AJ79" s="770">
        <v>0.25</v>
      </c>
      <c r="AK79" s="53">
        <v>45976</v>
      </c>
      <c r="AL79" s="702">
        <v>45996</v>
      </c>
      <c r="AM79" s="761">
        <f t="shared" si="24"/>
        <v>20</v>
      </c>
      <c r="AN79" s="761">
        <f t="shared" si="49"/>
        <v>126</v>
      </c>
      <c r="AO79" s="762" t="s">
        <v>56</v>
      </c>
      <c r="AP79" s="762" t="s">
        <v>259</v>
      </c>
      <c r="AQ79" s="702">
        <v>44459</v>
      </c>
      <c r="AR79" s="762" t="s">
        <v>148</v>
      </c>
      <c r="AS79" s="702">
        <v>44459</v>
      </c>
      <c r="AT79" s="762" t="s">
        <v>45</v>
      </c>
    </row>
    <row r="80" spans="1:82" s="60" customFormat="1" ht="20" x14ac:dyDescent="0.2">
      <c r="A80" s="273"/>
      <c r="B80" s="273"/>
      <c r="C80" s="279"/>
      <c r="D80" s="280" t="s">
        <v>260</v>
      </c>
      <c r="E80" s="281"/>
      <c r="F80" s="34"/>
      <c r="G80" s="34"/>
      <c r="H80" s="40">
        <f>J80/(1360*0.7)</f>
        <v>6.7226890756302532E-2</v>
      </c>
      <c r="I80" s="41"/>
      <c r="J80" s="41">
        <f>J79</f>
        <v>64</v>
      </c>
      <c r="K80" s="41"/>
      <c r="L80" s="42">
        <f>SUM(L79:L79)</f>
        <v>1500</v>
      </c>
      <c r="M80" s="42"/>
      <c r="N80" s="42"/>
      <c r="O80" s="42"/>
      <c r="P80" s="52"/>
      <c r="Q80" s="52"/>
      <c r="R80" s="52"/>
      <c r="S80" s="43"/>
      <c r="T80" s="44"/>
      <c r="U80" s="43"/>
      <c r="V80" s="369" t="str">
        <f>IF(ISBLANK(AD80),"",IFERROR(LOOKUP(AD80,FY_dates, inter_label),AD80))</f>
        <v/>
      </c>
      <c r="W80" s="44"/>
      <c r="X80" s="369"/>
      <c r="Y80" s="369"/>
      <c r="Z80" s="369"/>
      <c r="AA80" s="369"/>
      <c r="AB80" s="369"/>
      <c r="AC80" s="368"/>
      <c r="AD80" s="52"/>
      <c r="AE80" s="369"/>
      <c r="AF80" s="369"/>
      <c r="AG80" s="369"/>
      <c r="AH80" s="369"/>
      <c r="AI80" s="369"/>
      <c r="AJ80" s="368"/>
      <c r="AK80" s="257"/>
      <c r="AL80" s="52"/>
      <c r="AM80" s="657"/>
      <c r="AN80" s="657"/>
      <c r="AO80" s="369"/>
      <c r="AP80" s="369"/>
      <c r="AQ80" s="52"/>
      <c r="AR80" s="369"/>
      <c r="AS80" s="52"/>
      <c r="AT80" s="369"/>
    </row>
    <row r="81" spans="1:47" ht="19" x14ac:dyDescent="0.2">
      <c r="A81" s="683" t="s">
        <v>261</v>
      </c>
      <c r="B81" s="679"/>
      <c r="C81" s="679"/>
      <c r="D81" s="387"/>
      <c r="E81" s="269"/>
      <c r="F81" s="269"/>
      <c r="G81" s="269"/>
      <c r="H81" s="269"/>
      <c r="I81" s="269"/>
      <c r="J81" s="269"/>
      <c r="K81" s="269"/>
      <c r="L81" s="269"/>
      <c r="M81" s="269"/>
      <c r="N81" s="269"/>
      <c r="O81" s="751"/>
      <c r="P81" s="751"/>
      <c r="Q81" s="270"/>
      <c r="R81" s="752"/>
      <c r="S81" s="751"/>
      <c r="T81" s="751"/>
      <c r="U81" s="753"/>
      <c r="V81" s="754"/>
      <c r="W81" s="751"/>
      <c r="X81" s="363"/>
      <c r="Y81" s="363"/>
      <c r="Z81" s="363"/>
      <c r="AA81" s="363"/>
      <c r="AB81" s="363"/>
      <c r="AC81" s="363"/>
      <c r="AD81" s="270"/>
      <c r="AE81" s="754"/>
      <c r="AF81" s="363" t="str">
        <f t="shared" si="39"/>
        <v/>
      </c>
      <c r="AG81" s="363"/>
      <c r="AH81" s="363"/>
      <c r="AI81" s="363"/>
      <c r="AJ81" s="363"/>
      <c r="AK81" s="271"/>
      <c r="AL81" s="752"/>
      <c r="AM81" s="755"/>
      <c r="AN81" s="755"/>
      <c r="AO81" s="754"/>
      <c r="AP81" s="754"/>
      <c r="AQ81" s="752"/>
      <c r="AR81" s="754"/>
      <c r="AS81" s="752"/>
      <c r="AT81" s="363"/>
    </row>
    <row r="82" spans="1:47" ht="68" x14ac:dyDescent="0.2">
      <c r="A82" s="636">
        <v>1.3</v>
      </c>
      <c r="B82" s="37" t="s">
        <v>177</v>
      </c>
      <c r="C82" s="3" t="s">
        <v>262</v>
      </c>
      <c r="D82" s="3" t="s">
        <v>263</v>
      </c>
      <c r="E82" s="20">
        <v>40</v>
      </c>
      <c r="F82" s="20">
        <v>48</v>
      </c>
      <c r="G82" s="776">
        <v>46</v>
      </c>
      <c r="H82" s="20">
        <v>16</v>
      </c>
      <c r="I82" s="4">
        <f>ROUNDUP(E82*F82*G82/1728,0)</f>
        <v>52</v>
      </c>
      <c r="J82" s="4">
        <f>H82*I82</f>
        <v>832</v>
      </c>
      <c r="K82" s="4">
        <v>573</v>
      </c>
      <c r="L82" s="4">
        <f t="shared" ref="L82:L97" si="51">IF(ISERROR(SEARCH("totals", C82)),H82*K82, "")</f>
        <v>9168</v>
      </c>
      <c r="M82" s="776" t="s">
        <v>52</v>
      </c>
      <c r="N82" s="5" t="s">
        <v>198</v>
      </c>
      <c r="O82" s="9" t="s">
        <v>264</v>
      </c>
      <c r="P82" s="760">
        <f t="shared" ref="P82:P89" si="52">R82-Q82</f>
        <v>440</v>
      </c>
      <c r="Q82" s="702">
        <v>45065</v>
      </c>
      <c r="R82" s="757">
        <v>45505</v>
      </c>
      <c r="S82" s="758" t="s">
        <v>265</v>
      </c>
      <c r="T82" s="758" t="s">
        <v>266</v>
      </c>
      <c r="U82" s="742" t="s">
        <v>267</v>
      </c>
      <c r="V82" s="741" t="str">
        <f t="shared" ref="V82:V90" si="53">IF(ISBLANK(AD82),"",IFERROR(LOOKUP(AD82,FY_dates, inter_label),AD82))</f>
        <v>FY25 inter</v>
      </c>
      <c r="W82" s="742" t="s">
        <v>145</v>
      </c>
      <c r="X82" s="759" t="str">
        <f t="shared" si="50"/>
        <v>USAP Air</v>
      </c>
      <c r="Y82" s="320" t="s">
        <v>45</v>
      </c>
      <c r="Z82" s="320" t="s">
        <v>45</v>
      </c>
      <c r="AA82" s="320" t="s">
        <v>45</v>
      </c>
      <c r="AB82" s="320" t="s">
        <v>45</v>
      </c>
      <c r="AC82" s="770">
        <v>2</v>
      </c>
      <c r="AD82" s="702">
        <v>45597</v>
      </c>
      <c r="AE82" s="754" t="str">
        <f t="shared" ref="AE82:AE89" si="54">IF(ISBLANK(AK82),"",IFERROR(LOOKUP(AK82,FY_dates, intra_label),AK82))</f>
        <v>FY25 intra</v>
      </c>
      <c r="AF82" s="363" t="str">
        <f t="shared" si="39"/>
        <v>FY25 LC-130</v>
      </c>
      <c r="AG82" s="320" t="s">
        <v>45</v>
      </c>
      <c r="AH82" s="320" t="s">
        <v>45</v>
      </c>
      <c r="AI82" s="320" t="s">
        <v>45</v>
      </c>
      <c r="AJ82" s="770">
        <v>2</v>
      </c>
      <c r="AK82" s="53">
        <v>45641</v>
      </c>
      <c r="AL82" s="53">
        <v>45654</v>
      </c>
      <c r="AM82" s="761">
        <f t="shared" si="24"/>
        <v>13</v>
      </c>
      <c r="AN82" s="761">
        <f t="shared" si="49"/>
        <v>149</v>
      </c>
      <c r="AO82" s="762" t="s">
        <v>56</v>
      </c>
      <c r="AP82" s="762" t="s">
        <v>194</v>
      </c>
      <c r="AQ82" s="702">
        <v>44459</v>
      </c>
      <c r="AR82" s="762" t="s">
        <v>148</v>
      </c>
      <c r="AS82" s="702">
        <v>44461</v>
      </c>
      <c r="AT82" s="762" t="s">
        <v>268</v>
      </c>
    </row>
    <row r="83" spans="1:47" ht="51" x14ac:dyDescent="0.2">
      <c r="A83" s="636">
        <v>1.3</v>
      </c>
      <c r="B83" s="37" t="s">
        <v>177</v>
      </c>
      <c r="C83" s="3" t="s">
        <v>262</v>
      </c>
      <c r="D83" s="3" t="s">
        <v>269</v>
      </c>
      <c r="E83" s="20">
        <v>40</v>
      </c>
      <c r="F83" s="20">
        <v>48</v>
      </c>
      <c r="G83" s="776">
        <v>46</v>
      </c>
      <c r="H83" s="20">
        <v>0</v>
      </c>
      <c r="I83" s="4">
        <f t="shared" ref="I83:I89" si="55">ROUNDUP(E83*F83*G83/1728,0)</f>
        <v>52</v>
      </c>
      <c r="J83" s="4">
        <f t="shared" ref="J83:J89" si="56">H83*I83</f>
        <v>0</v>
      </c>
      <c r="K83" s="4">
        <v>573</v>
      </c>
      <c r="L83" s="4">
        <f t="shared" si="51"/>
        <v>0</v>
      </c>
      <c r="M83" s="776" t="s">
        <v>52</v>
      </c>
      <c r="N83" s="5" t="s">
        <v>198</v>
      </c>
      <c r="O83" s="9" t="s">
        <v>264</v>
      </c>
      <c r="P83" s="760">
        <f t="shared" si="52"/>
        <v>440</v>
      </c>
      <c r="Q83" s="702">
        <v>45065</v>
      </c>
      <c r="R83" s="757">
        <v>45505</v>
      </c>
      <c r="S83" s="758" t="s">
        <v>265</v>
      </c>
      <c r="T83" s="758" t="s">
        <v>266</v>
      </c>
      <c r="U83" s="742" t="s">
        <v>267</v>
      </c>
      <c r="V83" s="741" t="str">
        <f t="shared" si="53"/>
        <v>FY25 inter</v>
      </c>
      <c r="W83" s="742" t="s">
        <v>145</v>
      </c>
      <c r="X83" s="759" t="str">
        <f t="shared" si="50"/>
        <v>USAP Air</v>
      </c>
      <c r="Y83" s="320" t="s">
        <v>45</v>
      </c>
      <c r="Z83" s="320" t="s">
        <v>45</v>
      </c>
      <c r="AA83" s="320" t="s">
        <v>45</v>
      </c>
      <c r="AB83" s="320" t="s">
        <v>45</v>
      </c>
      <c r="AC83" s="770">
        <v>0.25</v>
      </c>
      <c r="AD83" s="702">
        <v>45597</v>
      </c>
      <c r="AE83" s="754" t="str">
        <f t="shared" si="54"/>
        <v>FY25 intra</v>
      </c>
      <c r="AF83" s="363" t="str">
        <f t="shared" si="39"/>
        <v>FY25 LC-130</v>
      </c>
      <c r="AG83" s="320" t="s">
        <v>45</v>
      </c>
      <c r="AH83" s="320" t="s">
        <v>45</v>
      </c>
      <c r="AI83" s="320" t="s">
        <v>45</v>
      </c>
      <c r="AJ83" s="770">
        <v>0.25</v>
      </c>
      <c r="AK83" s="53">
        <v>45641</v>
      </c>
      <c r="AL83" s="53">
        <v>45654</v>
      </c>
      <c r="AM83" s="761">
        <f t="shared" si="24"/>
        <v>13</v>
      </c>
      <c r="AN83" s="761">
        <f t="shared" si="49"/>
        <v>149</v>
      </c>
      <c r="AO83" s="762" t="s">
        <v>56</v>
      </c>
      <c r="AP83" s="762" t="s">
        <v>194</v>
      </c>
      <c r="AQ83" s="702">
        <v>44459</v>
      </c>
      <c r="AR83" s="762" t="s">
        <v>148</v>
      </c>
      <c r="AS83" s="702">
        <v>44461</v>
      </c>
      <c r="AT83" s="762" t="s">
        <v>270</v>
      </c>
    </row>
    <row r="84" spans="1:47" ht="51" x14ac:dyDescent="0.2">
      <c r="A84" s="636">
        <v>1.3</v>
      </c>
      <c r="B84" s="37" t="s">
        <v>177</v>
      </c>
      <c r="C84" s="3" t="s">
        <v>271</v>
      </c>
      <c r="D84" s="3" t="s">
        <v>272</v>
      </c>
      <c r="E84" s="20">
        <v>40</v>
      </c>
      <c r="F84" s="20">
        <v>21</v>
      </c>
      <c r="G84" s="20">
        <v>64</v>
      </c>
      <c r="H84" s="20">
        <v>1</v>
      </c>
      <c r="I84" s="4">
        <f t="shared" si="55"/>
        <v>32</v>
      </c>
      <c r="J84" s="4">
        <f t="shared" si="56"/>
        <v>32</v>
      </c>
      <c r="K84" s="4">
        <v>701</v>
      </c>
      <c r="L84" s="4">
        <f t="shared" si="51"/>
        <v>701</v>
      </c>
      <c r="M84" s="776" t="s">
        <v>131</v>
      </c>
      <c r="N84" s="29" t="s">
        <v>198</v>
      </c>
      <c r="O84" s="9" t="s">
        <v>273</v>
      </c>
      <c r="P84" s="760">
        <f t="shared" si="52"/>
        <v>578</v>
      </c>
      <c r="Q84" s="702">
        <v>44927</v>
      </c>
      <c r="R84" s="757">
        <v>45505</v>
      </c>
      <c r="S84" s="758" t="s">
        <v>265</v>
      </c>
      <c r="T84" s="758" t="s">
        <v>266</v>
      </c>
      <c r="U84" s="742" t="s">
        <v>267</v>
      </c>
      <c r="V84" s="741" t="str">
        <f t="shared" si="53"/>
        <v>FY25 inter</v>
      </c>
      <c r="W84" s="742" t="s">
        <v>145</v>
      </c>
      <c r="X84" s="759" t="str">
        <f t="shared" si="50"/>
        <v>USAP Air</v>
      </c>
      <c r="Y84" s="320" t="s">
        <v>45</v>
      </c>
      <c r="Z84" s="320" t="s">
        <v>45</v>
      </c>
      <c r="AA84" s="320" t="s">
        <v>45</v>
      </c>
      <c r="AB84" s="320" t="s">
        <v>45</v>
      </c>
      <c r="AC84" s="781">
        <v>0.25</v>
      </c>
      <c r="AD84" s="702">
        <v>45597</v>
      </c>
      <c r="AE84" s="754" t="str">
        <f t="shared" si="54"/>
        <v>FY25 intra</v>
      </c>
      <c r="AF84" s="363" t="str">
        <f t="shared" si="39"/>
        <v>FY25 LC-130</v>
      </c>
      <c r="AG84" s="320" t="s">
        <v>45</v>
      </c>
      <c r="AH84" s="320" t="s">
        <v>45</v>
      </c>
      <c r="AI84" s="320" t="s">
        <v>45</v>
      </c>
      <c r="AJ84" s="770">
        <f t="shared" ref="AJ84:AJ89" si="57">AC84</f>
        <v>0.25</v>
      </c>
      <c r="AK84" s="53">
        <v>45641</v>
      </c>
      <c r="AL84" s="53">
        <v>45654</v>
      </c>
      <c r="AM84" s="761">
        <f t="shared" si="24"/>
        <v>13</v>
      </c>
      <c r="AN84" s="761">
        <f t="shared" si="49"/>
        <v>149</v>
      </c>
      <c r="AO84" s="762" t="s">
        <v>56</v>
      </c>
      <c r="AP84" s="762" t="s">
        <v>204</v>
      </c>
      <c r="AQ84" s="702">
        <v>44482</v>
      </c>
      <c r="AR84" s="762" t="s">
        <v>148</v>
      </c>
      <c r="AS84" s="702">
        <v>44482</v>
      </c>
      <c r="AT84" s="762" t="s">
        <v>274</v>
      </c>
    </row>
    <row r="85" spans="1:47" ht="68" x14ac:dyDescent="0.2">
      <c r="A85" s="636">
        <v>1.5</v>
      </c>
      <c r="B85" s="37" t="s">
        <v>177</v>
      </c>
      <c r="C85" s="3" t="s">
        <v>275</v>
      </c>
      <c r="D85" s="3" t="s">
        <v>276</v>
      </c>
      <c r="E85" s="61">
        <v>62</v>
      </c>
      <c r="F85" s="61">
        <v>38</v>
      </c>
      <c r="G85" s="61">
        <v>41</v>
      </c>
      <c r="H85" s="20">
        <v>1</v>
      </c>
      <c r="I85" s="4">
        <f t="shared" si="55"/>
        <v>56</v>
      </c>
      <c r="J85" s="4">
        <f t="shared" si="56"/>
        <v>56</v>
      </c>
      <c r="K85" s="4">
        <v>836</v>
      </c>
      <c r="L85" s="4">
        <f t="shared" si="51"/>
        <v>836</v>
      </c>
      <c r="M85" s="776" t="s">
        <v>131</v>
      </c>
      <c r="N85" s="5" t="s">
        <v>198</v>
      </c>
      <c r="O85" s="9" t="s">
        <v>277</v>
      </c>
      <c r="P85" s="760">
        <f t="shared" si="52"/>
        <v>792</v>
      </c>
      <c r="Q85" s="702">
        <v>44713</v>
      </c>
      <c r="R85" s="757">
        <v>45505</v>
      </c>
      <c r="S85" s="758" t="s">
        <v>265</v>
      </c>
      <c r="T85" s="758" t="s">
        <v>266</v>
      </c>
      <c r="U85" s="742" t="s">
        <v>267</v>
      </c>
      <c r="V85" s="741" t="str">
        <f t="shared" si="53"/>
        <v>FY25 inter</v>
      </c>
      <c r="W85" s="742" t="s">
        <v>145</v>
      </c>
      <c r="X85" s="759" t="str">
        <f t="shared" si="50"/>
        <v>USAP Air</v>
      </c>
      <c r="Y85" s="320" t="s">
        <v>45</v>
      </c>
      <c r="Z85" s="320" t="s">
        <v>45</v>
      </c>
      <c r="AA85" s="320" t="s">
        <v>45</v>
      </c>
      <c r="AB85" s="320" t="s">
        <v>45</v>
      </c>
      <c r="AC85" s="781">
        <v>0.25</v>
      </c>
      <c r="AD85" s="702">
        <v>45597</v>
      </c>
      <c r="AE85" s="754" t="str">
        <f t="shared" si="54"/>
        <v>FY25 intra</v>
      </c>
      <c r="AF85" s="363" t="str">
        <f t="shared" si="39"/>
        <v>FY25 LC-130</v>
      </c>
      <c r="AG85" s="320" t="s">
        <v>45</v>
      </c>
      <c r="AH85" s="320" t="s">
        <v>45</v>
      </c>
      <c r="AI85" s="320" t="s">
        <v>45</v>
      </c>
      <c r="AJ85" s="770">
        <f t="shared" si="57"/>
        <v>0.25</v>
      </c>
      <c r="AK85" s="53">
        <v>45641</v>
      </c>
      <c r="AL85" s="53">
        <v>45654</v>
      </c>
      <c r="AM85" s="761">
        <f t="shared" si="24"/>
        <v>13</v>
      </c>
      <c r="AN85" s="761">
        <f t="shared" si="49"/>
        <v>149</v>
      </c>
      <c r="AO85" s="762" t="s">
        <v>56</v>
      </c>
      <c r="AP85" s="762" t="s">
        <v>199</v>
      </c>
      <c r="AQ85" s="702">
        <v>44482</v>
      </c>
      <c r="AR85" s="762" t="s">
        <v>148</v>
      </c>
      <c r="AS85" s="702">
        <v>44482</v>
      </c>
      <c r="AT85" s="762" t="s">
        <v>278</v>
      </c>
    </row>
    <row r="86" spans="1:47" ht="51" x14ac:dyDescent="0.2">
      <c r="A86" s="704">
        <v>1.4</v>
      </c>
      <c r="B86" s="37" t="s">
        <v>177</v>
      </c>
      <c r="C86" s="17" t="s">
        <v>279</v>
      </c>
      <c r="D86" s="1" t="s">
        <v>280</v>
      </c>
      <c r="E86" s="28">
        <v>48</v>
      </c>
      <c r="F86" s="28">
        <v>48</v>
      </c>
      <c r="G86" s="28">
        <v>36</v>
      </c>
      <c r="H86" s="20">
        <v>1</v>
      </c>
      <c r="I86" s="4">
        <f t="shared" si="55"/>
        <v>48</v>
      </c>
      <c r="J86" s="4">
        <f t="shared" si="56"/>
        <v>48</v>
      </c>
      <c r="K86" s="4">
        <v>275</v>
      </c>
      <c r="L86" s="4">
        <f t="shared" si="51"/>
        <v>275</v>
      </c>
      <c r="M86" s="776" t="s">
        <v>202</v>
      </c>
      <c r="N86" s="7" t="s">
        <v>132</v>
      </c>
      <c r="O86" s="756" t="s">
        <v>264</v>
      </c>
      <c r="P86" s="760">
        <f t="shared" si="52"/>
        <v>304</v>
      </c>
      <c r="Q86" s="702">
        <v>45215</v>
      </c>
      <c r="R86" s="757">
        <v>45519</v>
      </c>
      <c r="S86" s="758" t="s">
        <v>265</v>
      </c>
      <c r="T86" s="758" t="s">
        <v>266</v>
      </c>
      <c r="U86" s="742" t="s">
        <v>267</v>
      </c>
      <c r="V86" s="741" t="str">
        <f t="shared" si="53"/>
        <v>FY25 inter</v>
      </c>
      <c r="W86" s="742" t="s">
        <v>145</v>
      </c>
      <c r="X86" s="759" t="str">
        <f t="shared" si="50"/>
        <v>USAP Air</v>
      </c>
      <c r="Y86" s="320" t="s">
        <v>45</v>
      </c>
      <c r="Z86" s="320" t="s">
        <v>45</v>
      </c>
      <c r="AA86" s="320" t="s">
        <v>45</v>
      </c>
      <c r="AB86" s="320" t="s">
        <v>45</v>
      </c>
      <c r="AC86" s="770">
        <v>0.25</v>
      </c>
      <c r="AD86" s="702">
        <v>45597</v>
      </c>
      <c r="AE86" s="754" t="str">
        <f t="shared" si="54"/>
        <v>FY25 intra</v>
      </c>
      <c r="AF86" s="363" t="str">
        <f t="shared" si="39"/>
        <v>FY25 LC-130</v>
      </c>
      <c r="AG86" s="320" t="s">
        <v>45</v>
      </c>
      <c r="AH86" s="320" t="s">
        <v>45</v>
      </c>
      <c r="AI86" s="320" t="s">
        <v>45</v>
      </c>
      <c r="AJ86" s="770">
        <f t="shared" si="57"/>
        <v>0.25</v>
      </c>
      <c r="AK86" s="53">
        <v>45626</v>
      </c>
      <c r="AL86" s="702">
        <v>45627</v>
      </c>
      <c r="AM86" s="761">
        <f t="shared" si="24"/>
        <v>1</v>
      </c>
      <c r="AN86" s="761">
        <f t="shared" si="49"/>
        <v>108</v>
      </c>
      <c r="AO86" s="762" t="s">
        <v>70</v>
      </c>
      <c r="AP86" s="762" t="s">
        <v>180</v>
      </c>
      <c r="AQ86" s="702">
        <v>44482</v>
      </c>
      <c r="AR86" s="762" t="s">
        <v>148</v>
      </c>
      <c r="AS86" s="702">
        <v>44662</v>
      </c>
      <c r="AT86" s="762" t="s">
        <v>281</v>
      </c>
    </row>
    <row r="87" spans="1:47" ht="51" x14ac:dyDescent="0.2">
      <c r="A87" s="636">
        <v>1.3</v>
      </c>
      <c r="B87" s="37" t="s">
        <v>177</v>
      </c>
      <c r="C87" s="3" t="s">
        <v>282</v>
      </c>
      <c r="D87" s="3" t="s">
        <v>283</v>
      </c>
      <c r="E87" s="20">
        <v>40</v>
      </c>
      <c r="F87" s="20">
        <v>48</v>
      </c>
      <c r="G87" s="776">
        <v>46</v>
      </c>
      <c r="H87" s="20">
        <v>12</v>
      </c>
      <c r="I87" s="4">
        <f t="shared" si="55"/>
        <v>52</v>
      </c>
      <c r="J87" s="4">
        <f t="shared" si="56"/>
        <v>624</v>
      </c>
      <c r="K87" s="4">
        <v>573</v>
      </c>
      <c r="L87" s="4">
        <f t="shared" si="51"/>
        <v>6876</v>
      </c>
      <c r="M87" s="776" t="s">
        <v>249</v>
      </c>
      <c r="N87" s="5" t="s">
        <v>198</v>
      </c>
      <c r="O87" s="9" t="s">
        <v>264</v>
      </c>
      <c r="P87" s="760">
        <f t="shared" si="52"/>
        <v>721</v>
      </c>
      <c r="Q87" s="702">
        <v>45149</v>
      </c>
      <c r="R87" s="757">
        <v>45870</v>
      </c>
      <c r="S87" s="758" t="s">
        <v>265</v>
      </c>
      <c r="T87" s="758" t="s">
        <v>266</v>
      </c>
      <c r="U87" s="742" t="s">
        <v>267</v>
      </c>
      <c r="V87" s="741" t="str">
        <f t="shared" si="53"/>
        <v>FY26 inter</v>
      </c>
      <c r="W87" s="742" t="s">
        <v>158</v>
      </c>
      <c r="X87" s="759" t="str">
        <f t="shared" si="50"/>
        <v>USAP Air</v>
      </c>
      <c r="Y87" s="320" t="s">
        <v>45</v>
      </c>
      <c r="Z87" s="320" t="s">
        <v>45</v>
      </c>
      <c r="AA87" s="320" t="s">
        <v>45</v>
      </c>
      <c r="AB87" s="320" t="s">
        <v>45</v>
      </c>
      <c r="AC87" s="770">
        <v>3</v>
      </c>
      <c r="AD87" s="702">
        <v>45962</v>
      </c>
      <c r="AE87" s="754" t="str">
        <f t="shared" si="54"/>
        <v>FY26 intra</v>
      </c>
      <c r="AF87" s="363" t="str">
        <f t="shared" si="39"/>
        <v>FY26 LC-130</v>
      </c>
      <c r="AG87" s="320" t="s">
        <v>45</v>
      </c>
      <c r="AH87" s="320" t="s">
        <v>45</v>
      </c>
      <c r="AI87" s="320" t="s">
        <v>45</v>
      </c>
      <c r="AJ87" s="770">
        <f t="shared" si="57"/>
        <v>3</v>
      </c>
      <c r="AK87" s="53">
        <v>45986</v>
      </c>
      <c r="AL87" s="53">
        <v>46001</v>
      </c>
      <c r="AM87" s="761">
        <f t="shared" si="24"/>
        <v>15</v>
      </c>
      <c r="AN87" s="761">
        <f t="shared" si="49"/>
        <v>131</v>
      </c>
      <c r="AO87" s="762" t="s">
        <v>56</v>
      </c>
      <c r="AP87" s="762" t="s">
        <v>194</v>
      </c>
      <c r="AQ87" s="702">
        <v>44459</v>
      </c>
      <c r="AR87" s="762" t="s">
        <v>148</v>
      </c>
      <c r="AS87" s="702">
        <v>44662</v>
      </c>
      <c r="AT87" s="762" t="s">
        <v>284</v>
      </c>
    </row>
    <row r="88" spans="1:47" ht="68" x14ac:dyDescent="0.2">
      <c r="A88" s="636">
        <v>1.3</v>
      </c>
      <c r="B88" s="37" t="s">
        <v>177</v>
      </c>
      <c r="C88" s="3" t="s">
        <v>285</v>
      </c>
      <c r="D88" s="3" t="s">
        <v>286</v>
      </c>
      <c r="E88" s="20">
        <v>32</v>
      </c>
      <c r="F88" s="20">
        <v>31</v>
      </c>
      <c r="G88" s="20">
        <v>89</v>
      </c>
      <c r="H88" s="20">
        <v>1</v>
      </c>
      <c r="I88" s="4">
        <f t="shared" si="55"/>
        <v>52</v>
      </c>
      <c r="J88" s="4">
        <f t="shared" si="56"/>
        <v>52</v>
      </c>
      <c r="K88" s="4">
        <v>1035</v>
      </c>
      <c r="L88" s="4">
        <f t="shared" si="51"/>
        <v>1035</v>
      </c>
      <c r="M88" s="776" t="s">
        <v>202</v>
      </c>
      <c r="N88" s="29" t="s">
        <v>198</v>
      </c>
      <c r="O88" s="9" t="s">
        <v>273</v>
      </c>
      <c r="P88" s="760">
        <f t="shared" si="52"/>
        <v>578</v>
      </c>
      <c r="Q88" s="702">
        <v>45292</v>
      </c>
      <c r="R88" s="757">
        <v>45870</v>
      </c>
      <c r="S88" s="758" t="s">
        <v>265</v>
      </c>
      <c r="T88" s="758" t="s">
        <v>266</v>
      </c>
      <c r="U88" s="742" t="s">
        <v>267</v>
      </c>
      <c r="V88" s="741" t="str">
        <f t="shared" si="53"/>
        <v>FY26 inter</v>
      </c>
      <c r="W88" s="742" t="s">
        <v>158</v>
      </c>
      <c r="X88" s="759" t="str">
        <f t="shared" si="50"/>
        <v>USAP Air</v>
      </c>
      <c r="Y88" s="320" t="s">
        <v>45</v>
      </c>
      <c r="Z88" s="320" t="s">
        <v>45</v>
      </c>
      <c r="AA88" s="320" t="s">
        <v>45</v>
      </c>
      <c r="AB88" s="320" t="s">
        <v>45</v>
      </c>
      <c r="AC88" s="770">
        <v>0.25</v>
      </c>
      <c r="AD88" s="702">
        <v>45962</v>
      </c>
      <c r="AE88" s="754" t="str">
        <f t="shared" si="54"/>
        <v>FY26 intra</v>
      </c>
      <c r="AF88" s="363" t="str">
        <f t="shared" si="39"/>
        <v>FY26 LC-130</v>
      </c>
      <c r="AG88" s="320" t="s">
        <v>45</v>
      </c>
      <c r="AH88" s="320" t="s">
        <v>45</v>
      </c>
      <c r="AI88" s="320" t="s">
        <v>45</v>
      </c>
      <c r="AJ88" s="770">
        <f t="shared" si="57"/>
        <v>0.25</v>
      </c>
      <c r="AK88" s="53">
        <v>45986</v>
      </c>
      <c r="AL88" s="53">
        <v>46001</v>
      </c>
      <c r="AM88" s="761">
        <f t="shared" si="24"/>
        <v>15</v>
      </c>
      <c r="AN88" s="761">
        <f t="shared" si="49"/>
        <v>131</v>
      </c>
      <c r="AO88" s="762" t="s">
        <v>56</v>
      </c>
      <c r="AP88" s="762" t="s">
        <v>204</v>
      </c>
      <c r="AQ88" s="702">
        <v>44482</v>
      </c>
      <c r="AR88" s="762" t="s">
        <v>148</v>
      </c>
      <c r="AS88" s="702">
        <v>44482</v>
      </c>
      <c r="AT88" s="762" t="s">
        <v>287</v>
      </c>
    </row>
    <row r="89" spans="1:47" ht="85" x14ac:dyDescent="0.2">
      <c r="A89" s="638">
        <v>1.5</v>
      </c>
      <c r="B89" s="285" t="s">
        <v>177</v>
      </c>
      <c r="C89" s="278" t="s">
        <v>288</v>
      </c>
      <c r="D89" s="278" t="s">
        <v>289</v>
      </c>
      <c r="E89" s="61">
        <v>62</v>
      </c>
      <c r="F89" s="61">
        <v>48</v>
      </c>
      <c r="G89" s="61">
        <v>44</v>
      </c>
      <c r="H89" s="20">
        <v>1</v>
      </c>
      <c r="I89" s="4">
        <f t="shared" si="55"/>
        <v>76</v>
      </c>
      <c r="J89" s="4">
        <f t="shared" si="56"/>
        <v>76</v>
      </c>
      <c r="K89" s="4">
        <v>1694</v>
      </c>
      <c r="L89" s="4">
        <f t="shared" si="51"/>
        <v>1694</v>
      </c>
      <c r="M89" s="776" t="s">
        <v>202</v>
      </c>
      <c r="N89" s="5" t="s">
        <v>198</v>
      </c>
      <c r="O89" s="9" t="s">
        <v>277</v>
      </c>
      <c r="P89" s="760">
        <f t="shared" si="52"/>
        <v>1157</v>
      </c>
      <c r="Q89" s="702">
        <v>44713</v>
      </c>
      <c r="R89" s="757">
        <v>45870</v>
      </c>
      <c r="S89" s="758" t="s">
        <v>265</v>
      </c>
      <c r="T89" s="758" t="s">
        <v>266</v>
      </c>
      <c r="U89" s="742" t="s">
        <v>267</v>
      </c>
      <c r="V89" s="741" t="str">
        <f t="shared" si="53"/>
        <v>FY26 inter</v>
      </c>
      <c r="W89" s="742" t="s">
        <v>158</v>
      </c>
      <c r="X89" s="759" t="str">
        <f t="shared" si="50"/>
        <v>USAP Air</v>
      </c>
      <c r="Y89" s="320" t="s">
        <v>45</v>
      </c>
      <c r="Z89" s="320" t="s">
        <v>45</v>
      </c>
      <c r="AA89" s="320" t="s">
        <v>45</v>
      </c>
      <c r="AB89" s="320" t="s">
        <v>45</v>
      </c>
      <c r="AC89" s="782">
        <v>0.25</v>
      </c>
      <c r="AD89" s="702">
        <v>45962</v>
      </c>
      <c r="AE89" s="754" t="str">
        <f t="shared" si="54"/>
        <v>FY26 intra</v>
      </c>
      <c r="AF89" s="363" t="str">
        <f t="shared" si="39"/>
        <v>FY26 LC-130</v>
      </c>
      <c r="AG89" s="320" t="s">
        <v>45</v>
      </c>
      <c r="AH89" s="320" t="s">
        <v>45</v>
      </c>
      <c r="AI89" s="320" t="s">
        <v>45</v>
      </c>
      <c r="AJ89" s="770">
        <f t="shared" si="57"/>
        <v>0.25</v>
      </c>
      <c r="AK89" s="53">
        <v>45986</v>
      </c>
      <c r="AL89" s="53">
        <v>46001</v>
      </c>
      <c r="AM89" s="761">
        <f t="shared" si="24"/>
        <v>15</v>
      </c>
      <c r="AN89" s="761">
        <f t="shared" si="49"/>
        <v>131</v>
      </c>
      <c r="AO89" s="762" t="s">
        <v>56</v>
      </c>
      <c r="AP89" s="762" t="s">
        <v>199</v>
      </c>
      <c r="AQ89" s="702">
        <v>44482</v>
      </c>
      <c r="AR89" s="762" t="s">
        <v>148</v>
      </c>
      <c r="AS89" s="702">
        <v>44482</v>
      </c>
      <c r="AT89" s="762" t="s">
        <v>290</v>
      </c>
    </row>
    <row r="90" spans="1:47" s="60" customFormat="1" ht="40" x14ac:dyDescent="0.2">
      <c r="A90" s="273"/>
      <c r="B90" s="273"/>
      <c r="C90" s="279"/>
      <c r="D90" s="280" t="s">
        <v>291</v>
      </c>
      <c r="E90" s="281"/>
      <c r="F90" s="34"/>
      <c r="G90" s="34" t="s">
        <v>47</v>
      </c>
      <c r="H90" s="40">
        <f>J90/(1360*0.7)</f>
        <v>1.8067226890756305</v>
      </c>
      <c r="I90" s="41"/>
      <c r="J90" s="41">
        <f>SUM(J82:J89)</f>
        <v>1720</v>
      </c>
      <c r="K90" s="41"/>
      <c r="L90" s="41">
        <f>SUM(L82:L89)</f>
        <v>20585</v>
      </c>
      <c r="M90" s="42"/>
      <c r="N90" s="42"/>
      <c r="O90" s="42"/>
      <c r="P90" s="52"/>
      <c r="Q90" s="52"/>
      <c r="R90" s="52"/>
      <c r="S90" s="43"/>
      <c r="T90" s="44"/>
      <c r="U90" s="43"/>
      <c r="V90" s="369" t="str">
        <f t="shared" si="53"/>
        <v/>
      </c>
      <c r="W90" s="44"/>
      <c r="X90" s="372"/>
      <c r="Y90" s="372"/>
      <c r="Z90" s="376"/>
      <c r="AA90" s="369"/>
      <c r="AB90" s="369"/>
      <c r="AC90" s="369" t="str">
        <f>IF(ISBLANK(U90),"",IFERROR(LOOKUP(U90,FY_dates, inter_label),U90))</f>
        <v/>
      </c>
      <c r="AD90" s="52"/>
      <c r="AE90" s="369"/>
      <c r="AF90" s="372"/>
      <c r="AG90" s="372"/>
      <c r="AH90" s="372"/>
      <c r="AI90" s="372"/>
      <c r="AJ90" s="372"/>
      <c r="AK90" s="257"/>
      <c r="AL90" s="52"/>
      <c r="AM90" s="657"/>
      <c r="AN90" s="657"/>
      <c r="AO90" s="369"/>
      <c r="AP90" s="369"/>
      <c r="AQ90" s="52"/>
      <c r="AR90" s="369"/>
      <c r="AS90" s="52"/>
      <c r="AT90" s="369"/>
    </row>
    <row r="91" spans="1:47" ht="19" x14ac:dyDescent="0.2">
      <c r="A91" s="682" t="s">
        <v>292</v>
      </c>
      <c r="B91" s="680"/>
      <c r="C91" s="680"/>
      <c r="D91" s="681"/>
      <c r="E91" s="269"/>
      <c r="F91" s="269"/>
      <c r="G91" s="269"/>
      <c r="H91" s="269"/>
      <c r="I91" s="269"/>
      <c r="J91" s="269"/>
      <c r="K91" s="269"/>
      <c r="L91" s="269"/>
      <c r="M91" s="269"/>
      <c r="N91" s="269"/>
      <c r="O91" s="751"/>
      <c r="P91" s="751"/>
      <c r="Q91" s="270"/>
      <c r="R91" s="752"/>
      <c r="S91" s="751"/>
      <c r="T91" s="751"/>
      <c r="U91" s="753"/>
      <c r="V91" s="754"/>
      <c r="W91" s="751"/>
      <c r="X91" s="363"/>
      <c r="Y91" s="363"/>
      <c r="Z91" s="377"/>
      <c r="AA91" s="754"/>
      <c r="AB91" s="754"/>
      <c r="AC91" s="754"/>
      <c r="AD91" s="270"/>
      <c r="AE91" s="754"/>
      <c r="AF91" s="363" t="str">
        <f t="shared" si="39"/>
        <v/>
      </c>
      <c r="AG91" s="363"/>
      <c r="AH91" s="363"/>
      <c r="AI91" s="363"/>
      <c r="AJ91" s="363"/>
      <c r="AK91" s="271"/>
      <c r="AL91" s="752"/>
      <c r="AM91" s="755"/>
      <c r="AN91" s="755"/>
      <c r="AO91" s="754"/>
      <c r="AP91" s="754"/>
      <c r="AQ91" s="752"/>
      <c r="AR91" s="754"/>
      <c r="AS91" s="752"/>
      <c r="AT91" s="363"/>
    </row>
    <row r="92" spans="1:47" ht="51" x14ac:dyDescent="0.2">
      <c r="A92" s="639">
        <v>1.3</v>
      </c>
      <c r="B92" s="37" t="s">
        <v>177</v>
      </c>
      <c r="C92" s="1" t="s">
        <v>293</v>
      </c>
      <c r="D92" s="1" t="s">
        <v>294</v>
      </c>
      <c r="E92" s="29">
        <v>41</v>
      </c>
      <c r="F92" s="29">
        <v>41</v>
      </c>
      <c r="G92" s="29">
        <v>69</v>
      </c>
      <c r="H92" s="29">
        <v>4</v>
      </c>
      <c r="I92" s="4">
        <f t="shared" ref="I92:I97" si="58">ROUNDUP(E92*F92*G92/1728,0)</f>
        <v>68</v>
      </c>
      <c r="J92" s="4">
        <f>I92*H92</f>
        <v>272</v>
      </c>
      <c r="K92" s="4">
        <v>750</v>
      </c>
      <c r="L92" s="4">
        <f t="shared" si="51"/>
        <v>3000</v>
      </c>
      <c r="M92" s="776" t="s">
        <v>52</v>
      </c>
      <c r="N92" s="5" t="s">
        <v>198</v>
      </c>
      <c r="O92" s="9" t="s">
        <v>295</v>
      </c>
      <c r="P92" s="760">
        <f t="shared" ref="P92:P97" si="59">R92-Q92</f>
        <v>736</v>
      </c>
      <c r="Q92" s="702">
        <v>44769</v>
      </c>
      <c r="R92" s="757">
        <v>45505</v>
      </c>
      <c r="S92" s="758" t="s">
        <v>296</v>
      </c>
      <c r="T92" s="758" t="s">
        <v>297</v>
      </c>
      <c r="U92" s="742" t="s">
        <v>296</v>
      </c>
      <c r="V92" s="741" t="str">
        <f t="shared" ref="V92:V97" si="60">IF(ISBLANK(AD92),"",IFERROR(LOOKUP(AD92,FY_dates, inter_label),AD92))</f>
        <v>FY25 inter</v>
      </c>
      <c r="W92" s="742" t="s">
        <v>145</v>
      </c>
      <c r="X92" s="759" t="str">
        <f t="shared" si="50"/>
        <v>USAP Air</v>
      </c>
      <c r="Y92" s="320" t="s">
        <v>45</v>
      </c>
      <c r="Z92" s="320" t="s">
        <v>45</v>
      </c>
      <c r="AA92" s="320" t="s">
        <v>45</v>
      </c>
      <c r="AB92" s="320" t="s">
        <v>45</v>
      </c>
      <c r="AC92" s="770">
        <v>1</v>
      </c>
      <c r="AD92" s="702">
        <v>45597</v>
      </c>
      <c r="AE92" s="762" t="str">
        <f t="shared" ref="AE92:AE97" si="61">IF(ISBLANK(AK92),"",IFERROR(LOOKUP(AK92,FY_dates, intra_label),AK92))</f>
        <v>FY25 intra</v>
      </c>
      <c r="AF92" s="363" t="str">
        <f t="shared" si="39"/>
        <v>FY25 LC-130</v>
      </c>
      <c r="AG92" s="320" t="s">
        <v>45</v>
      </c>
      <c r="AH92" s="320" t="s">
        <v>45</v>
      </c>
      <c r="AI92" s="320" t="s">
        <v>45</v>
      </c>
      <c r="AJ92" s="770">
        <f t="shared" ref="AJ92:AJ97" si="62">AC92</f>
        <v>1</v>
      </c>
      <c r="AK92" s="53">
        <v>45641</v>
      </c>
      <c r="AL92" s="53">
        <v>45654</v>
      </c>
      <c r="AM92" s="761">
        <f t="shared" si="24"/>
        <v>13</v>
      </c>
      <c r="AN92" s="761">
        <f t="shared" si="49"/>
        <v>149</v>
      </c>
      <c r="AO92" s="762" t="s">
        <v>56</v>
      </c>
      <c r="AP92" s="762" t="s">
        <v>298</v>
      </c>
      <c r="AQ92" s="702">
        <v>44461</v>
      </c>
      <c r="AR92" s="762" t="s">
        <v>148</v>
      </c>
      <c r="AS92" s="702">
        <v>44662</v>
      </c>
      <c r="AT92" s="762" t="s">
        <v>299</v>
      </c>
      <c r="AU92" s="50"/>
    </row>
    <row r="93" spans="1:47" ht="51" x14ac:dyDescent="0.2">
      <c r="A93" s="639">
        <v>1.3</v>
      </c>
      <c r="B93" s="37" t="s">
        <v>177</v>
      </c>
      <c r="C93" s="1" t="s">
        <v>293</v>
      </c>
      <c r="D93" s="1" t="s">
        <v>300</v>
      </c>
      <c r="E93" s="29">
        <v>41</v>
      </c>
      <c r="F93" s="29">
        <v>41</v>
      </c>
      <c r="G93" s="29">
        <v>69</v>
      </c>
      <c r="H93" s="29">
        <v>1</v>
      </c>
      <c r="I93" s="4">
        <f t="shared" si="58"/>
        <v>68</v>
      </c>
      <c r="J93" s="4">
        <f t="shared" ref="J93:J97" si="63">I93*H93</f>
        <v>68</v>
      </c>
      <c r="K93" s="4">
        <v>750</v>
      </c>
      <c r="L93" s="4">
        <f t="shared" si="51"/>
        <v>750</v>
      </c>
      <c r="M93" s="776" t="s">
        <v>52</v>
      </c>
      <c r="N93" s="5" t="s">
        <v>198</v>
      </c>
      <c r="O93" s="9" t="s">
        <v>295</v>
      </c>
      <c r="P93" s="760">
        <f t="shared" si="59"/>
        <v>736</v>
      </c>
      <c r="Q93" s="702">
        <v>44769</v>
      </c>
      <c r="R93" s="757">
        <v>45505</v>
      </c>
      <c r="S93" s="758" t="s">
        <v>296</v>
      </c>
      <c r="T93" s="758" t="s">
        <v>297</v>
      </c>
      <c r="U93" s="742" t="s">
        <v>296</v>
      </c>
      <c r="V93" s="741" t="str">
        <f t="shared" si="60"/>
        <v>FY25 inter</v>
      </c>
      <c r="W93" s="742" t="s">
        <v>145</v>
      </c>
      <c r="X93" s="759" t="str">
        <f t="shared" si="50"/>
        <v>USAP Air</v>
      </c>
      <c r="Y93" s="320" t="s">
        <v>45</v>
      </c>
      <c r="Z93" s="320" t="s">
        <v>45</v>
      </c>
      <c r="AA93" s="320" t="s">
        <v>45</v>
      </c>
      <c r="AB93" s="320" t="s">
        <v>45</v>
      </c>
      <c r="AC93" s="770">
        <v>0.25</v>
      </c>
      <c r="AD93" s="702">
        <v>45597</v>
      </c>
      <c r="AE93" s="762" t="str">
        <f t="shared" si="61"/>
        <v>FY25 intra</v>
      </c>
      <c r="AF93" s="363" t="str">
        <f t="shared" si="39"/>
        <v>FY25 LC-130</v>
      </c>
      <c r="AG93" s="320" t="s">
        <v>45</v>
      </c>
      <c r="AH93" s="320" t="s">
        <v>45</v>
      </c>
      <c r="AI93" s="320" t="s">
        <v>45</v>
      </c>
      <c r="AJ93" s="770">
        <f t="shared" si="62"/>
        <v>0.25</v>
      </c>
      <c r="AK93" s="53">
        <v>45641</v>
      </c>
      <c r="AL93" s="53">
        <v>45654</v>
      </c>
      <c r="AM93" s="761">
        <f t="shared" si="24"/>
        <v>13</v>
      </c>
      <c r="AN93" s="761">
        <f t="shared" si="49"/>
        <v>149</v>
      </c>
      <c r="AO93" s="762" t="s">
        <v>56</v>
      </c>
      <c r="AP93" s="762" t="s">
        <v>298</v>
      </c>
      <c r="AQ93" s="702">
        <v>44461</v>
      </c>
      <c r="AR93" s="762" t="s">
        <v>148</v>
      </c>
      <c r="AS93" s="702">
        <v>44662</v>
      </c>
      <c r="AT93" s="762" t="s">
        <v>301</v>
      </c>
    </row>
    <row r="94" spans="1:47" ht="51" x14ac:dyDescent="0.2">
      <c r="A94" s="639">
        <v>1.3</v>
      </c>
      <c r="B94" s="37" t="s">
        <v>177</v>
      </c>
      <c r="C94" s="1" t="s">
        <v>302</v>
      </c>
      <c r="D94" s="1" t="s">
        <v>303</v>
      </c>
      <c r="E94" s="29">
        <v>60</v>
      </c>
      <c r="F94" s="29">
        <v>41</v>
      </c>
      <c r="G94" s="29">
        <v>69</v>
      </c>
      <c r="H94" s="29">
        <v>4</v>
      </c>
      <c r="I94" s="4">
        <f t="shared" si="58"/>
        <v>99</v>
      </c>
      <c r="J94" s="4">
        <f t="shared" si="63"/>
        <v>396</v>
      </c>
      <c r="K94" s="4">
        <v>1102</v>
      </c>
      <c r="L94" s="4">
        <f t="shared" si="51"/>
        <v>4408</v>
      </c>
      <c r="M94" s="776" t="s">
        <v>52</v>
      </c>
      <c r="N94" s="5" t="s">
        <v>198</v>
      </c>
      <c r="O94" s="9" t="s">
        <v>295</v>
      </c>
      <c r="P94" s="760">
        <f t="shared" si="59"/>
        <v>736</v>
      </c>
      <c r="Q94" s="702">
        <v>44769</v>
      </c>
      <c r="R94" s="64">
        <v>45505</v>
      </c>
      <c r="S94" s="758" t="s">
        <v>296</v>
      </c>
      <c r="T94" s="758" t="s">
        <v>297</v>
      </c>
      <c r="U94" s="742" t="s">
        <v>296</v>
      </c>
      <c r="V94" s="741" t="str">
        <f t="shared" si="60"/>
        <v>FY25 inter</v>
      </c>
      <c r="W94" s="742" t="s">
        <v>145</v>
      </c>
      <c r="X94" s="759" t="str">
        <f t="shared" si="50"/>
        <v>USAP Air</v>
      </c>
      <c r="Y94" s="320" t="s">
        <v>45</v>
      </c>
      <c r="Z94" s="320" t="s">
        <v>45</v>
      </c>
      <c r="AA94" s="320" t="s">
        <v>45</v>
      </c>
      <c r="AB94" s="320" t="s">
        <v>45</v>
      </c>
      <c r="AC94" s="770">
        <v>1</v>
      </c>
      <c r="AD94" s="702">
        <v>45597</v>
      </c>
      <c r="AE94" s="762" t="str">
        <f t="shared" si="61"/>
        <v>FY25 intra</v>
      </c>
      <c r="AF94" s="363" t="str">
        <f t="shared" si="39"/>
        <v>FY25 LC-130</v>
      </c>
      <c r="AG94" s="320" t="s">
        <v>45</v>
      </c>
      <c r="AH94" s="320" t="s">
        <v>45</v>
      </c>
      <c r="AI94" s="320" t="s">
        <v>45</v>
      </c>
      <c r="AJ94" s="770">
        <f t="shared" si="62"/>
        <v>1</v>
      </c>
      <c r="AK94" s="53">
        <v>45641</v>
      </c>
      <c r="AL94" s="53">
        <v>45654</v>
      </c>
      <c r="AM94" s="761">
        <f t="shared" si="24"/>
        <v>13</v>
      </c>
      <c r="AN94" s="761">
        <f t="shared" si="49"/>
        <v>149</v>
      </c>
      <c r="AO94" s="762" t="s">
        <v>56</v>
      </c>
      <c r="AP94" s="762" t="s">
        <v>298</v>
      </c>
      <c r="AQ94" s="702">
        <v>44461</v>
      </c>
      <c r="AR94" s="762" t="s">
        <v>148</v>
      </c>
      <c r="AS94" s="702">
        <v>44662</v>
      </c>
      <c r="AT94" s="762" t="s">
        <v>304</v>
      </c>
      <c r="AU94" s="50"/>
    </row>
    <row r="95" spans="1:47" ht="51" x14ac:dyDescent="0.2">
      <c r="A95" s="639">
        <v>1.3</v>
      </c>
      <c r="B95" s="37" t="s">
        <v>177</v>
      </c>
      <c r="C95" s="1" t="s">
        <v>302</v>
      </c>
      <c r="D95" s="1" t="s">
        <v>305</v>
      </c>
      <c r="E95" s="29">
        <v>60</v>
      </c>
      <c r="F95" s="29">
        <v>41</v>
      </c>
      <c r="G95" s="29">
        <v>69</v>
      </c>
      <c r="H95" s="29">
        <v>1</v>
      </c>
      <c r="I95" s="4">
        <f t="shared" si="58"/>
        <v>99</v>
      </c>
      <c r="J95" s="4">
        <f t="shared" si="63"/>
        <v>99</v>
      </c>
      <c r="K95" s="4">
        <v>1102</v>
      </c>
      <c r="L95" s="4">
        <f t="shared" si="51"/>
        <v>1102</v>
      </c>
      <c r="M95" s="776" t="s">
        <v>52</v>
      </c>
      <c r="N95" s="5" t="s">
        <v>198</v>
      </c>
      <c r="O95" s="9" t="s">
        <v>295</v>
      </c>
      <c r="P95" s="760">
        <f t="shared" si="59"/>
        <v>736</v>
      </c>
      <c r="Q95" s="702">
        <v>44769</v>
      </c>
      <c r="R95" s="757">
        <v>45505</v>
      </c>
      <c r="S95" s="758" t="s">
        <v>296</v>
      </c>
      <c r="T95" s="758" t="s">
        <v>297</v>
      </c>
      <c r="U95" s="742" t="s">
        <v>296</v>
      </c>
      <c r="V95" s="741" t="str">
        <f t="shared" si="60"/>
        <v>FY25 inter</v>
      </c>
      <c r="W95" s="742" t="s">
        <v>145</v>
      </c>
      <c r="X95" s="759" t="str">
        <f t="shared" si="50"/>
        <v>USAP Air</v>
      </c>
      <c r="Y95" s="320" t="s">
        <v>45</v>
      </c>
      <c r="Z95" s="320" t="s">
        <v>45</v>
      </c>
      <c r="AA95" s="320" t="s">
        <v>45</v>
      </c>
      <c r="AB95" s="320" t="s">
        <v>45</v>
      </c>
      <c r="AC95" s="770">
        <v>0.25</v>
      </c>
      <c r="AD95" s="702">
        <v>45597</v>
      </c>
      <c r="AE95" s="762" t="str">
        <f t="shared" si="61"/>
        <v>FY25 intra</v>
      </c>
      <c r="AF95" s="363" t="str">
        <f t="shared" si="39"/>
        <v>FY25 LC-130</v>
      </c>
      <c r="AG95" s="320" t="s">
        <v>45</v>
      </c>
      <c r="AH95" s="320" t="s">
        <v>45</v>
      </c>
      <c r="AI95" s="320" t="s">
        <v>45</v>
      </c>
      <c r="AJ95" s="770">
        <f t="shared" si="62"/>
        <v>0.25</v>
      </c>
      <c r="AK95" s="53">
        <v>45641</v>
      </c>
      <c r="AL95" s="53">
        <v>45654</v>
      </c>
      <c r="AM95" s="761">
        <f t="shared" si="24"/>
        <v>13</v>
      </c>
      <c r="AN95" s="761">
        <f t="shared" si="49"/>
        <v>149</v>
      </c>
      <c r="AO95" s="762" t="s">
        <v>56</v>
      </c>
      <c r="AP95" s="762" t="s">
        <v>298</v>
      </c>
      <c r="AQ95" s="702">
        <v>44461</v>
      </c>
      <c r="AR95" s="762" t="s">
        <v>148</v>
      </c>
      <c r="AS95" s="702">
        <v>44662</v>
      </c>
      <c r="AT95" s="762" t="s">
        <v>306</v>
      </c>
    </row>
    <row r="96" spans="1:47" ht="34" x14ac:dyDescent="0.2">
      <c r="A96" s="639">
        <v>1.3</v>
      </c>
      <c r="B96" s="37" t="s">
        <v>177</v>
      </c>
      <c r="C96" s="1" t="s">
        <v>307</v>
      </c>
      <c r="D96" s="1" t="s">
        <v>308</v>
      </c>
      <c r="E96" s="29">
        <v>41</v>
      </c>
      <c r="F96" s="29">
        <v>41</v>
      </c>
      <c r="G96" s="29">
        <v>69</v>
      </c>
      <c r="H96" s="29">
        <v>10</v>
      </c>
      <c r="I96" s="4">
        <f t="shared" si="58"/>
        <v>68</v>
      </c>
      <c r="J96" s="4">
        <f t="shared" si="63"/>
        <v>680</v>
      </c>
      <c r="K96" s="4">
        <v>750</v>
      </c>
      <c r="L96" s="4">
        <f t="shared" si="51"/>
        <v>7500</v>
      </c>
      <c r="M96" s="776" t="s">
        <v>52</v>
      </c>
      <c r="N96" s="5" t="s">
        <v>198</v>
      </c>
      <c r="O96" s="9" t="s">
        <v>295</v>
      </c>
      <c r="P96" s="760">
        <f t="shared" si="59"/>
        <v>812</v>
      </c>
      <c r="Q96" s="702">
        <v>45058</v>
      </c>
      <c r="R96" s="757">
        <v>45870</v>
      </c>
      <c r="S96" s="758" t="s">
        <v>296</v>
      </c>
      <c r="T96" s="758" t="s">
        <v>297</v>
      </c>
      <c r="U96" s="742" t="s">
        <v>296</v>
      </c>
      <c r="V96" s="741" t="str">
        <f t="shared" si="60"/>
        <v>FY26 inter</v>
      </c>
      <c r="W96" s="742" t="s">
        <v>158</v>
      </c>
      <c r="X96" s="759" t="str">
        <f t="shared" si="50"/>
        <v>USAP Air</v>
      </c>
      <c r="Y96" s="320" t="s">
        <v>45</v>
      </c>
      <c r="Z96" s="320" t="s">
        <v>45</v>
      </c>
      <c r="AA96" s="320" t="s">
        <v>45</v>
      </c>
      <c r="AB96" s="320" t="s">
        <v>45</v>
      </c>
      <c r="AC96" s="315">
        <v>2.5</v>
      </c>
      <c r="AD96" s="702">
        <v>45962</v>
      </c>
      <c r="AE96" s="762" t="str">
        <f t="shared" si="61"/>
        <v>FY26 intra</v>
      </c>
      <c r="AF96" s="363" t="str">
        <f t="shared" si="39"/>
        <v>FY26 LC-130</v>
      </c>
      <c r="AG96" s="320" t="s">
        <v>45</v>
      </c>
      <c r="AH96" s="320" t="s">
        <v>45</v>
      </c>
      <c r="AI96" s="320" t="s">
        <v>45</v>
      </c>
      <c r="AJ96" s="770">
        <f t="shared" si="62"/>
        <v>2.5</v>
      </c>
      <c r="AK96" s="53">
        <v>45986</v>
      </c>
      <c r="AL96" s="53">
        <v>46001</v>
      </c>
      <c r="AM96" s="761">
        <f t="shared" si="24"/>
        <v>15</v>
      </c>
      <c r="AN96" s="761">
        <f t="shared" si="49"/>
        <v>131</v>
      </c>
      <c r="AO96" s="762" t="s">
        <v>56</v>
      </c>
      <c r="AP96" s="762" t="s">
        <v>298</v>
      </c>
      <c r="AQ96" s="702">
        <v>44461</v>
      </c>
      <c r="AR96" s="762" t="s">
        <v>148</v>
      </c>
      <c r="AS96" s="702">
        <v>44662</v>
      </c>
      <c r="AT96" s="762" t="s">
        <v>304</v>
      </c>
      <c r="AU96" s="50"/>
    </row>
    <row r="97" spans="1:47" ht="34" x14ac:dyDescent="0.2">
      <c r="A97" s="640">
        <v>1.3</v>
      </c>
      <c r="B97" s="285" t="s">
        <v>177</v>
      </c>
      <c r="C97" s="287" t="s">
        <v>309</v>
      </c>
      <c r="D97" s="287" t="s">
        <v>310</v>
      </c>
      <c r="E97" s="29">
        <v>60</v>
      </c>
      <c r="F97" s="29">
        <v>41</v>
      </c>
      <c r="G97" s="29">
        <v>69</v>
      </c>
      <c r="H97" s="29">
        <v>10</v>
      </c>
      <c r="I97" s="4">
        <f t="shared" si="58"/>
        <v>99</v>
      </c>
      <c r="J97" s="4">
        <f t="shared" si="63"/>
        <v>990</v>
      </c>
      <c r="K97" s="4">
        <v>1102</v>
      </c>
      <c r="L97" s="4">
        <f t="shared" si="51"/>
        <v>11020</v>
      </c>
      <c r="M97" s="776" t="s">
        <v>52</v>
      </c>
      <c r="N97" s="5" t="s">
        <v>198</v>
      </c>
      <c r="O97" s="9" t="s">
        <v>295</v>
      </c>
      <c r="P97" s="760">
        <f t="shared" si="59"/>
        <v>812</v>
      </c>
      <c r="Q97" s="702">
        <v>45058</v>
      </c>
      <c r="R97" s="757">
        <v>45870</v>
      </c>
      <c r="S97" s="758" t="s">
        <v>296</v>
      </c>
      <c r="T97" s="758" t="s">
        <v>297</v>
      </c>
      <c r="U97" s="742" t="s">
        <v>296</v>
      </c>
      <c r="V97" s="741" t="str">
        <f t="shared" si="60"/>
        <v>FY26 inter</v>
      </c>
      <c r="W97" s="742" t="s">
        <v>158</v>
      </c>
      <c r="X97" s="759" t="str">
        <f t="shared" si="50"/>
        <v>USAP Air</v>
      </c>
      <c r="Y97" s="320" t="s">
        <v>45</v>
      </c>
      <c r="Z97" s="320" t="s">
        <v>45</v>
      </c>
      <c r="AA97" s="320" t="s">
        <v>45</v>
      </c>
      <c r="AB97" s="320" t="s">
        <v>45</v>
      </c>
      <c r="AC97" s="315">
        <v>2.5</v>
      </c>
      <c r="AD97" s="702">
        <v>45962</v>
      </c>
      <c r="AE97" s="762" t="str">
        <f t="shared" si="61"/>
        <v>FY26 intra</v>
      </c>
      <c r="AF97" s="363" t="str">
        <f t="shared" si="39"/>
        <v>FY26 LC-130</v>
      </c>
      <c r="AG97" s="320" t="s">
        <v>45</v>
      </c>
      <c r="AH97" s="320" t="s">
        <v>45</v>
      </c>
      <c r="AI97" s="320" t="s">
        <v>45</v>
      </c>
      <c r="AJ97" s="770">
        <f t="shared" si="62"/>
        <v>2.5</v>
      </c>
      <c r="AK97" s="53">
        <v>45986</v>
      </c>
      <c r="AL97" s="53">
        <v>46001</v>
      </c>
      <c r="AM97" s="761">
        <f t="shared" si="24"/>
        <v>15</v>
      </c>
      <c r="AN97" s="761">
        <f t="shared" si="49"/>
        <v>131</v>
      </c>
      <c r="AO97" s="762" t="s">
        <v>56</v>
      </c>
      <c r="AP97" s="762" t="s">
        <v>298</v>
      </c>
      <c r="AQ97" s="702">
        <v>44461</v>
      </c>
      <c r="AR97" s="762" t="s">
        <v>148</v>
      </c>
      <c r="AS97" s="702">
        <v>44662</v>
      </c>
      <c r="AT97" s="762" t="s">
        <v>304</v>
      </c>
      <c r="AU97" s="50"/>
    </row>
    <row r="98" spans="1:47" s="60" customFormat="1" ht="20" x14ac:dyDescent="0.2">
      <c r="A98" s="641"/>
      <c r="B98" s="642"/>
      <c r="C98" s="643"/>
      <c r="D98" s="644" t="s">
        <v>311</v>
      </c>
      <c r="E98" s="645"/>
      <c r="F98" s="646"/>
      <c r="G98" s="646" t="s">
        <v>47</v>
      </c>
      <c r="H98" s="647">
        <f>J98/(1360*0.7)</f>
        <v>2.6313025210084038</v>
      </c>
      <c r="I98" s="648"/>
      <c r="J98" s="648">
        <f>SUM(J92:J97)</f>
        <v>2505</v>
      </c>
      <c r="K98" s="648"/>
      <c r="L98" s="649">
        <f>SUM(L92:L97)</f>
        <v>27780</v>
      </c>
      <c r="M98" s="649"/>
      <c r="N98" s="649"/>
      <c r="O98" s="649"/>
      <c r="P98" s="649"/>
      <c r="Q98" s="650"/>
      <c r="R98" s="650"/>
      <c r="S98" s="651"/>
      <c r="T98" s="652"/>
      <c r="U98" s="651"/>
      <c r="V98" s="653"/>
      <c r="W98" s="652"/>
      <c r="X98" s="654"/>
      <c r="Y98" s="654"/>
      <c r="Z98" s="655"/>
      <c r="AA98" s="653"/>
      <c r="AB98" s="653"/>
      <c r="AC98" s="653" t="str">
        <f>IF(ISBLANK(U98),"",IFERROR(LOOKUP(U98,FY_dates, inter_label),U98))</f>
        <v/>
      </c>
      <c r="AD98" s="650"/>
      <c r="AE98" s="654"/>
      <c r="AF98" s="654"/>
      <c r="AG98" s="654"/>
      <c r="AH98" s="654"/>
      <c r="AI98" s="654"/>
      <c r="AJ98" s="654"/>
      <c r="AK98" s="650"/>
      <c r="AL98" s="650"/>
      <c r="AM98" s="658"/>
      <c r="AN98" s="658"/>
      <c r="AO98" s="653"/>
      <c r="AP98" s="654"/>
      <c r="AQ98" s="656"/>
      <c r="AR98" s="654"/>
      <c r="AS98" s="650"/>
      <c r="AT98" s="653"/>
    </row>
    <row r="99" spans="1:47" ht="19" x14ac:dyDescent="0.2">
      <c r="A99" s="682" t="s">
        <v>312</v>
      </c>
      <c r="B99" s="679"/>
      <c r="C99" s="679"/>
      <c r="D99" s="387"/>
      <c r="E99" s="269"/>
      <c r="F99" s="269"/>
      <c r="G99" s="269"/>
      <c r="H99" s="269"/>
      <c r="I99" s="269"/>
      <c r="J99" s="269"/>
      <c r="K99" s="269"/>
      <c r="L99" s="269"/>
      <c r="M99" s="269"/>
      <c r="N99" s="269"/>
      <c r="O99" s="751"/>
      <c r="P99" s="751"/>
      <c r="Q99" s="270"/>
      <c r="R99" s="752"/>
      <c r="S99" s="751"/>
      <c r="T99" s="751"/>
      <c r="U99" s="753"/>
      <c r="V99" s="363"/>
      <c r="W99" s="751"/>
      <c r="X99" s="363"/>
      <c r="Y99" s="363"/>
      <c r="Z99" s="377"/>
      <c r="AA99" s="754"/>
      <c r="AB99" s="754"/>
      <c r="AC99" s="754"/>
      <c r="AD99" s="270"/>
      <c r="AE99" s="363"/>
      <c r="AF99" s="363"/>
      <c r="AG99" s="363"/>
      <c r="AH99" s="363"/>
      <c r="AI99" s="363"/>
      <c r="AJ99" s="363"/>
      <c r="AK99" s="752"/>
      <c r="AL99" s="752"/>
      <c r="AM99" s="755"/>
      <c r="AN99" s="755"/>
      <c r="AO99" s="754"/>
      <c r="AP99" s="363"/>
      <c r="AQ99" s="385"/>
      <c r="AR99" s="363"/>
      <c r="AS99" s="752"/>
      <c r="AT99" s="363"/>
    </row>
    <row r="100" spans="1:47" ht="17" x14ac:dyDescent="0.2">
      <c r="A100" s="48">
        <v>1.2</v>
      </c>
      <c r="B100" s="37" t="s">
        <v>313</v>
      </c>
      <c r="C100" s="1" t="s">
        <v>314</v>
      </c>
      <c r="D100" s="1" t="s">
        <v>315</v>
      </c>
      <c r="E100" s="29"/>
      <c r="F100" s="29"/>
      <c r="G100" s="29"/>
      <c r="H100" s="29">
        <v>0</v>
      </c>
      <c r="I100" s="4"/>
      <c r="J100" s="783">
        <f>SUM(H100/7.48052)</f>
        <v>0</v>
      </c>
      <c r="K100" s="783">
        <v>6.8</v>
      </c>
      <c r="L100" s="4">
        <f>IF(ISERROR(SEARCH("totals", C100)),H100*K100, "")</f>
        <v>0</v>
      </c>
      <c r="M100" s="68" t="s">
        <v>202</v>
      </c>
      <c r="N100" s="30" t="s">
        <v>45</v>
      </c>
      <c r="O100" s="30" t="s">
        <v>45</v>
      </c>
      <c r="P100" s="30" t="s">
        <v>45</v>
      </c>
      <c r="Q100" s="702" t="s">
        <v>45</v>
      </c>
      <c r="R100" s="758" t="s">
        <v>45</v>
      </c>
      <c r="S100" s="758" t="s">
        <v>45</v>
      </c>
      <c r="T100" s="758" t="s">
        <v>45</v>
      </c>
      <c r="U100" s="742" t="s">
        <v>45</v>
      </c>
      <c r="V100" s="741" t="str">
        <f>IF(ISBLANK(AD100),"",IFERROR(LOOKUP(AD100,FY_dates, inter_label),AD100))</f>
        <v>FY23 inter</v>
      </c>
      <c r="W100" s="742" t="s">
        <v>45</v>
      </c>
      <c r="X100" s="759" t="str">
        <f t="shared" si="50"/>
        <v>-</v>
      </c>
      <c r="Y100" s="320" t="s">
        <v>45</v>
      </c>
      <c r="Z100" s="320" t="s">
        <v>45</v>
      </c>
      <c r="AA100" s="320" t="s">
        <v>45</v>
      </c>
      <c r="AB100" s="320" t="s">
        <v>45</v>
      </c>
      <c r="AC100" s="770"/>
      <c r="AD100" s="702">
        <v>44866</v>
      </c>
      <c r="AE100" s="762" t="str">
        <f>IF(ISBLANK(AK100),"",IFERROR(LOOKUP(AK100,FY_dates, intra_label),AK100))</f>
        <v>FY23 intra</v>
      </c>
      <c r="AF100" s="316" t="s">
        <v>316</v>
      </c>
      <c r="AG100" s="320" t="s">
        <v>45</v>
      </c>
      <c r="AH100" s="320" t="s">
        <v>45</v>
      </c>
      <c r="AI100" s="320" t="s">
        <v>45</v>
      </c>
      <c r="AJ100" s="762"/>
      <c r="AK100" s="53">
        <v>44896</v>
      </c>
      <c r="AL100" s="702">
        <v>45261</v>
      </c>
      <c r="AM100" s="761">
        <f t="shared" si="24"/>
        <v>365</v>
      </c>
      <c r="AN100" s="761" t="str">
        <f t="shared" si="49"/>
        <v>-</v>
      </c>
      <c r="AO100" s="762" t="s">
        <v>56</v>
      </c>
      <c r="AP100" s="762" t="s">
        <v>317</v>
      </c>
      <c r="AQ100" s="702">
        <v>44483</v>
      </c>
      <c r="AR100" s="762" t="s">
        <v>58</v>
      </c>
      <c r="AS100" s="702">
        <v>44483</v>
      </c>
      <c r="AT100" s="762" t="s">
        <v>45</v>
      </c>
    </row>
    <row r="101" spans="1:47" ht="34" x14ac:dyDescent="0.2">
      <c r="A101" s="48">
        <v>1.2</v>
      </c>
      <c r="B101" s="37" t="s">
        <v>313</v>
      </c>
      <c r="C101" s="1" t="s">
        <v>318</v>
      </c>
      <c r="D101" s="1" t="s">
        <v>319</v>
      </c>
      <c r="E101" s="29"/>
      <c r="F101" s="29"/>
      <c r="G101" s="29"/>
      <c r="H101" s="29">
        <v>3191</v>
      </c>
      <c r="I101" s="4"/>
      <c r="J101" s="783">
        <f>ROUNDUP(SUM(H101/7.48052),2)</f>
        <v>426.58</v>
      </c>
      <c r="K101" s="783">
        <v>6.8</v>
      </c>
      <c r="L101" s="4">
        <f>IF(ISERROR(SEARCH("totals", C101)),H101*K101, "")</f>
        <v>21698.799999999999</v>
      </c>
      <c r="M101" s="68" t="s">
        <v>202</v>
      </c>
      <c r="N101" s="30" t="s">
        <v>45</v>
      </c>
      <c r="O101" s="30" t="s">
        <v>45</v>
      </c>
      <c r="P101" s="30" t="s">
        <v>45</v>
      </c>
      <c r="Q101" s="702" t="s">
        <v>45</v>
      </c>
      <c r="R101" s="758" t="s">
        <v>45</v>
      </c>
      <c r="S101" s="758" t="s">
        <v>45</v>
      </c>
      <c r="T101" s="758" t="s">
        <v>45</v>
      </c>
      <c r="U101" s="742" t="s">
        <v>45</v>
      </c>
      <c r="V101" s="741" t="str">
        <f t="shared" ref="V101:V102" si="64">IF(ISBLANK(AD101),"",IFERROR(LOOKUP(AD101,FY_dates, inter_label),AD101))</f>
        <v>FY24 inter</v>
      </c>
      <c r="W101" s="742" t="s">
        <v>45</v>
      </c>
      <c r="X101" s="759" t="str">
        <f t="shared" ref="X101:X102" si="65">IF(ISNUMBER(SEARCH("Vessel",W101)),"USAP Vessel",IF(ISNUMBER(SEARCH("Comsur",W101)),"USAP Air",W101))</f>
        <v>-</v>
      </c>
      <c r="Y101" s="320" t="s">
        <v>45</v>
      </c>
      <c r="Z101" s="320" t="s">
        <v>45</v>
      </c>
      <c r="AA101" s="320" t="s">
        <v>45</v>
      </c>
      <c r="AB101" s="320" t="s">
        <v>45</v>
      </c>
      <c r="AC101" s="770"/>
      <c r="AD101" s="702">
        <v>45231</v>
      </c>
      <c r="AE101" s="762" t="str">
        <f t="shared" ref="AE101:AE102" si="66">IF(ISBLANK(AK101),"",IFERROR(LOOKUP(AK101,FY_dates, intra_label),AK101))</f>
        <v>FY24 intra</v>
      </c>
      <c r="AF101" s="316" t="s">
        <v>320</v>
      </c>
      <c r="AG101" s="320" t="s">
        <v>45</v>
      </c>
      <c r="AH101" s="320" t="s">
        <v>45</v>
      </c>
      <c r="AI101" s="320" t="s">
        <v>45</v>
      </c>
      <c r="AJ101" s="762"/>
      <c r="AK101" s="53">
        <v>45261</v>
      </c>
      <c r="AL101" s="702">
        <v>45261</v>
      </c>
      <c r="AM101" s="761">
        <f t="shared" ref="AM101:AM102" si="67">AL101-AK101</f>
        <v>0</v>
      </c>
      <c r="AN101" s="761" t="str">
        <f t="shared" si="49"/>
        <v>-</v>
      </c>
      <c r="AO101" s="762" t="s">
        <v>56</v>
      </c>
      <c r="AP101" s="762" t="s">
        <v>317</v>
      </c>
      <c r="AQ101" s="702">
        <v>44483</v>
      </c>
      <c r="AR101" s="762" t="s">
        <v>58</v>
      </c>
      <c r="AS101" s="702">
        <v>44483</v>
      </c>
      <c r="AT101" s="762" t="s">
        <v>45</v>
      </c>
    </row>
    <row r="102" spans="1:47" ht="34" x14ac:dyDescent="0.2">
      <c r="A102" s="48">
        <v>1.2</v>
      </c>
      <c r="B102" s="37" t="s">
        <v>313</v>
      </c>
      <c r="C102" s="1" t="s">
        <v>321</v>
      </c>
      <c r="D102" s="1" t="s">
        <v>322</v>
      </c>
      <c r="E102" s="29"/>
      <c r="F102" s="29"/>
      <c r="G102" s="29"/>
      <c r="H102" s="29">
        <v>452</v>
      </c>
      <c r="I102" s="4"/>
      <c r="J102" s="783">
        <f t="shared" ref="J102:J106" si="68">ROUNDUP(SUM(H102/7.48052),2)</f>
        <v>60.43</v>
      </c>
      <c r="K102" s="783">
        <v>6.8</v>
      </c>
      <c r="L102" s="4">
        <f t="shared" ref="L102" si="69">IF(ISERROR(SEARCH("totals", C102)),H102*K102, "")</f>
        <v>3073.6</v>
      </c>
      <c r="M102" s="68" t="s">
        <v>202</v>
      </c>
      <c r="N102" s="30" t="s">
        <v>45</v>
      </c>
      <c r="O102" s="30" t="s">
        <v>45</v>
      </c>
      <c r="P102" s="30" t="s">
        <v>45</v>
      </c>
      <c r="Q102" s="702" t="s">
        <v>45</v>
      </c>
      <c r="R102" s="758" t="s">
        <v>45</v>
      </c>
      <c r="S102" s="758" t="s">
        <v>45</v>
      </c>
      <c r="T102" s="758" t="s">
        <v>45</v>
      </c>
      <c r="U102" s="742" t="s">
        <v>45</v>
      </c>
      <c r="V102" s="741" t="str">
        <f t="shared" si="64"/>
        <v>FY24 inter</v>
      </c>
      <c r="W102" s="742" t="s">
        <v>45</v>
      </c>
      <c r="X102" s="759" t="str">
        <f t="shared" si="65"/>
        <v>-</v>
      </c>
      <c r="Y102" s="320" t="s">
        <v>45</v>
      </c>
      <c r="Z102" s="320" t="s">
        <v>45</v>
      </c>
      <c r="AA102" s="320" t="s">
        <v>45</v>
      </c>
      <c r="AB102" s="320" t="s">
        <v>45</v>
      </c>
      <c r="AC102" s="770"/>
      <c r="AD102" s="702">
        <v>45231</v>
      </c>
      <c r="AE102" s="762" t="str">
        <f t="shared" si="66"/>
        <v>FY24 intra</v>
      </c>
      <c r="AF102" s="316" t="s">
        <v>320</v>
      </c>
      <c r="AG102" s="320" t="s">
        <v>45</v>
      </c>
      <c r="AH102" s="320" t="s">
        <v>45</v>
      </c>
      <c r="AI102" s="320" t="s">
        <v>45</v>
      </c>
      <c r="AJ102" s="762"/>
      <c r="AK102" s="53">
        <v>45261</v>
      </c>
      <c r="AL102" s="702">
        <v>45261</v>
      </c>
      <c r="AM102" s="761">
        <f t="shared" si="67"/>
        <v>0</v>
      </c>
      <c r="AN102" s="761" t="str">
        <f t="shared" si="49"/>
        <v>-</v>
      </c>
      <c r="AO102" s="762" t="s">
        <v>56</v>
      </c>
      <c r="AP102" s="762" t="s">
        <v>317</v>
      </c>
      <c r="AQ102" s="702">
        <v>44483</v>
      </c>
      <c r="AR102" s="762" t="s">
        <v>58</v>
      </c>
      <c r="AS102" s="702">
        <v>44483</v>
      </c>
      <c r="AT102" s="762" t="s">
        <v>45</v>
      </c>
    </row>
    <row r="103" spans="1:47" ht="34" x14ac:dyDescent="0.2">
      <c r="A103" s="48">
        <v>1.2</v>
      </c>
      <c r="B103" s="37" t="s">
        <v>313</v>
      </c>
      <c r="C103" s="1" t="s">
        <v>323</v>
      </c>
      <c r="D103" s="1" t="s">
        <v>324</v>
      </c>
      <c r="E103" s="29"/>
      <c r="F103" s="29"/>
      <c r="G103" s="29"/>
      <c r="H103" s="4">
        <v>18178</v>
      </c>
      <c r="I103" s="4"/>
      <c r="J103" s="783">
        <f t="shared" si="68"/>
        <v>2430.0500000000002</v>
      </c>
      <c r="K103" s="783">
        <v>6.8</v>
      </c>
      <c r="L103" s="4">
        <f t="shared" ref="L103:L105" si="70">IF(ISERROR(SEARCH("totals", C103)),H103*K103, "")</f>
        <v>123610.4</v>
      </c>
      <c r="M103" s="68" t="s">
        <v>202</v>
      </c>
      <c r="N103" s="30" t="s">
        <v>45</v>
      </c>
      <c r="O103" s="30" t="s">
        <v>45</v>
      </c>
      <c r="P103" s="30" t="s">
        <v>45</v>
      </c>
      <c r="Q103" s="702" t="s">
        <v>45</v>
      </c>
      <c r="R103" s="758" t="s">
        <v>45</v>
      </c>
      <c r="S103" s="758" t="s">
        <v>45</v>
      </c>
      <c r="T103" s="758" t="s">
        <v>45</v>
      </c>
      <c r="U103" s="742" t="s">
        <v>45</v>
      </c>
      <c r="V103" s="741" t="str">
        <f t="shared" ref="V103:V108" si="71">IF(ISBLANK(AD103),"",IFERROR(LOOKUP(AD103,FY_dates, inter_label),AD103))</f>
        <v>FY25 inter</v>
      </c>
      <c r="W103" s="742" t="s">
        <v>45</v>
      </c>
      <c r="X103" s="759" t="str">
        <f t="shared" si="50"/>
        <v>-</v>
      </c>
      <c r="Y103" s="320" t="s">
        <v>45</v>
      </c>
      <c r="Z103" s="320" t="s">
        <v>45</v>
      </c>
      <c r="AA103" s="320" t="s">
        <v>45</v>
      </c>
      <c r="AB103" s="320" t="s">
        <v>45</v>
      </c>
      <c r="AC103" s="770"/>
      <c r="AD103" s="702">
        <v>45597</v>
      </c>
      <c r="AE103" s="762" t="str">
        <f t="shared" ref="AE103:AE106" si="72">IF(ISBLANK(AK103),"",IFERROR(LOOKUP(AK103,FY_dates, intra_label),AK103))</f>
        <v>FY25 intra</v>
      </c>
      <c r="AF103" s="316" t="s">
        <v>325</v>
      </c>
      <c r="AG103" s="320" t="s">
        <v>45</v>
      </c>
      <c r="AH103" s="320" t="s">
        <v>45</v>
      </c>
      <c r="AI103" s="320" t="s">
        <v>45</v>
      </c>
      <c r="AJ103" s="762"/>
      <c r="AK103" s="53">
        <v>45627</v>
      </c>
      <c r="AL103" s="702">
        <v>45627</v>
      </c>
      <c r="AM103" s="761">
        <f t="shared" ref="AM103:AM106" si="73">AL103-AK103</f>
        <v>0</v>
      </c>
      <c r="AN103" s="761" t="str">
        <f t="shared" si="49"/>
        <v>-</v>
      </c>
      <c r="AO103" s="762" t="s">
        <v>56</v>
      </c>
      <c r="AP103" s="762" t="s">
        <v>317</v>
      </c>
      <c r="AQ103" s="702">
        <v>44483</v>
      </c>
      <c r="AR103" s="762" t="s">
        <v>58</v>
      </c>
      <c r="AS103" s="702">
        <v>44483</v>
      </c>
      <c r="AT103" s="762" t="s">
        <v>45</v>
      </c>
    </row>
    <row r="104" spans="1:47" ht="34" x14ac:dyDescent="0.2">
      <c r="A104" s="48">
        <v>1.2</v>
      </c>
      <c r="B104" s="37" t="s">
        <v>313</v>
      </c>
      <c r="C104" s="1" t="s">
        <v>326</v>
      </c>
      <c r="D104" s="1" t="s">
        <v>327</v>
      </c>
      <c r="E104" s="29"/>
      <c r="F104" s="29"/>
      <c r="G104" s="29"/>
      <c r="H104" s="30">
        <v>2373</v>
      </c>
      <c r="I104" s="4"/>
      <c r="J104" s="783">
        <f t="shared" si="68"/>
        <v>317.23</v>
      </c>
      <c r="K104" s="783">
        <v>6.8</v>
      </c>
      <c r="L104" s="4">
        <f t="shared" si="70"/>
        <v>16136.4</v>
      </c>
      <c r="M104" s="68" t="s">
        <v>202</v>
      </c>
      <c r="N104" s="30" t="s">
        <v>45</v>
      </c>
      <c r="O104" s="30" t="s">
        <v>45</v>
      </c>
      <c r="P104" s="30" t="s">
        <v>45</v>
      </c>
      <c r="Q104" s="702" t="s">
        <v>45</v>
      </c>
      <c r="R104" s="758" t="s">
        <v>45</v>
      </c>
      <c r="S104" s="758" t="s">
        <v>45</v>
      </c>
      <c r="T104" s="758" t="s">
        <v>45</v>
      </c>
      <c r="U104" s="742" t="s">
        <v>45</v>
      </c>
      <c r="V104" s="741" t="str">
        <f t="shared" si="71"/>
        <v>FY25 inter</v>
      </c>
      <c r="W104" s="742" t="s">
        <v>45</v>
      </c>
      <c r="X104" s="759" t="str">
        <f t="shared" si="50"/>
        <v>-</v>
      </c>
      <c r="Y104" s="320" t="s">
        <v>45</v>
      </c>
      <c r="Z104" s="320" t="s">
        <v>45</v>
      </c>
      <c r="AA104" s="320" t="s">
        <v>45</v>
      </c>
      <c r="AB104" s="320" t="s">
        <v>45</v>
      </c>
      <c r="AC104" s="770"/>
      <c r="AD104" s="702">
        <v>45597</v>
      </c>
      <c r="AE104" s="762" t="str">
        <f t="shared" si="72"/>
        <v>FY25 intra</v>
      </c>
      <c r="AF104" s="316" t="s">
        <v>325</v>
      </c>
      <c r="AG104" s="320" t="s">
        <v>45</v>
      </c>
      <c r="AH104" s="320" t="s">
        <v>45</v>
      </c>
      <c r="AI104" s="320" t="s">
        <v>45</v>
      </c>
      <c r="AJ104" s="762"/>
      <c r="AK104" s="53">
        <v>45627</v>
      </c>
      <c r="AL104" s="702">
        <v>45627</v>
      </c>
      <c r="AM104" s="761">
        <f t="shared" si="73"/>
        <v>0</v>
      </c>
      <c r="AN104" s="761" t="str">
        <f t="shared" si="49"/>
        <v>-</v>
      </c>
      <c r="AO104" s="762" t="s">
        <v>56</v>
      </c>
      <c r="AP104" s="762" t="s">
        <v>317</v>
      </c>
      <c r="AQ104" s="702">
        <v>44483</v>
      </c>
      <c r="AR104" s="762" t="s">
        <v>58</v>
      </c>
      <c r="AS104" s="702">
        <v>44483</v>
      </c>
      <c r="AT104" s="762" t="s">
        <v>45</v>
      </c>
    </row>
    <row r="105" spans="1:47" ht="34" x14ac:dyDescent="0.2">
      <c r="A105" s="48">
        <v>1.2</v>
      </c>
      <c r="B105" s="37" t="s">
        <v>313</v>
      </c>
      <c r="C105" s="1" t="s">
        <v>328</v>
      </c>
      <c r="D105" s="1" t="s">
        <v>329</v>
      </c>
      <c r="E105" s="29"/>
      <c r="F105" s="29"/>
      <c r="G105" s="29"/>
      <c r="H105" s="30">
        <v>62694</v>
      </c>
      <c r="I105" s="4"/>
      <c r="J105" s="783">
        <f t="shared" si="68"/>
        <v>8380.9699999999993</v>
      </c>
      <c r="K105" s="783">
        <v>6.8</v>
      </c>
      <c r="L105" s="4">
        <f t="shared" si="70"/>
        <v>426319.2</v>
      </c>
      <c r="M105" s="68" t="s">
        <v>202</v>
      </c>
      <c r="N105" s="30" t="s">
        <v>45</v>
      </c>
      <c r="O105" s="30" t="s">
        <v>45</v>
      </c>
      <c r="P105" s="30" t="s">
        <v>45</v>
      </c>
      <c r="Q105" s="702" t="s">
        <v>45</v>
      </c>
      <c r="R105" s="758" t="s">
        <v>45</v>
      </c>
      <c r="S105" s="758" t="s">
        <v>45</v>
      </c>
      <c r="T105" s="758" t="s">
        <v>45</v>
      </c>
      <c r="U105" s="742" t="s">
        <v>45</v>
      </c>
      <c r="V105" s="741" t="str">
        <f t="shared" si="71"/>
        <v>FY26 inter</v>
      </c>
      <c r="W105" s="742" t="s">
        <v>45</v>
      </c>
      <c r="X105" s="759" t="str">
        <f t="shared" si="50"/>
        <v>-</v>
      </c>
      <c r="Y105" s="320" t="s">
        <v>45</v>
      </c>
      <c r="Z105" s="320" t="s">
        <v>45</v>
      </c>
      <c r="AA105" s="320" t="s">
        <v>45</v>
      </c>
      <c r="AB105" s="320" t="s">
        <v>45</v>
      </c>
      <c r="AC105" s="770"/>
      <c r="AD105" s="702">
        <v>45962</v>
      </c>
      <c r="AE105" s="762" t="str">
        <f t="shared" si="72"/>
        <v>FY26 intra</v>
      </c>
      <c r="AF105" s="316" t="s">
        <v>330</v>
      </c>
      <c r="AG105" s="320" t="s">
        <v>45</v>
      </c>
      <c r="AH105" s="320" t="s">
        <v>45</v>
      </c>
      <c r="AI105" s="320" t="s">
        <v>45</v>
      </c>
      <c r="AJ105" s="762"/>
      <c r="AK105" s="53">
        <v>45992</v>
      </c>
      <c r="AL105" s="702">
        <v>45992</v>
      </c>
      <c r="AM105" s="761">
        <f t="shared" si="73"/>
        <v>0</v>
      </c>
      <c r="AN105" s="761" t="str">
        <f t="shared" si="49"/>
        <v>-</v>
      </c>
      <c r="AO105" s="762" t="s">
        <v>56</v>
      </c>
      <c r="AP105" s="762" t="s">
        <v>317</v>
      </c>
      <c r="AQ105" s="702">
        <v>44483</v>
      </c>
      <c r="AR105" s="762" t="s">
        <v>58</v>
      </c>
      <c r="AS105" s="702">
        <v>44483</v>
      </c>
      <c r="AT105" s="762" t="s">
        <v>45</v>
      </c>
    </row>
    <row r="106" spans="1:47" ht="34" x14ac:dyDescent="0.2">
      <c r="A106" s="286">
        <v>1.2</v>
      </c>
      <c r="B106" s="285" t="s">
        <v>313</v>
      </c>
      <c r="C106" s="287" t="s">
        <v>331</v>
      </c>
      <c r="D106" s="287" t="s">
        <v>332</v>
      </c>
      <c r="E106" s="29"/>
      <c r="F106" s="29"/>
      <c r="G106" s="29"/>
      <c r="H106" s="30">
        <v>8473</v>
      </c>
      <c r="I106" s="4"/>
      <c r="J106" s="783">
        <f t="shared" si="68"/>
        <v>1132.68</v>
      </c>
      <c r="K106" s="783">
        <v>6.8</v>
      </c>
      <c r="L106" s="4">
        <f>IF(ISERROR(SEARCH("totals", C106)),H106*K106, "")</f>
        <v>57616.4</v>
      </c>
      <c r="M106" s="68" t="s">
        <v>202</v>
      </c>
      <c r="N106" s="30" t="s">
        <v>45</v>
      </c>
      <c r="O106" s="30" t="s">
        <v>45</v>
      </c>
      <c r="P106" s="30" t="s">
        <v>45</v>
      </c>
      <c r="Q106" s="702" t="s">
        <v>45</v>
      </c>
      <c r="R106" s="758" t="s">
        <v>45</v>
      </c>
      <c r="S106" s="758" t="s">
        <v>45</v>
      </c>
      <c r="T106" s="758" t="s">
        <v>45</v>
      </c>
      <c r="U106" s="742" t="s">
        <v>45</v>
      </c>
      <c r="V106" s="741" t="str">
        <f t="shared" si="71"/>
        <v>FY26 inter</v>
      </c>
      <c r="W106" s="742" t="s">
        <v>45</v>
      </c>
      <c r="X106" s="759" t="str">
        <f t="shared" si="50"/>
        <v>-</v>
      </c>
      <c r="Y106" s="320" t="s">
        <v>45</v>
      </c>
      <c r="Z106" s="320" t="s">
        <v>45</v>
      </c>
      <c r="AA106" s="320" t="s">
        <v>45</v>
      </c>
      <c r="AB106" s="320" t="s">
        <v>45</v>
      </c>
      <c r="AC106" s="770"/>
      <c r="AD106" s="702">
        <v>45962</v>
      </c>
      <c r="AE106" s="762" t="str">
        <f t="shared" si="72"/>
        <v>FY26 intra</v>
      </c>
      <c r="AF106" s="316" t="s">
        <v>330</v>
      </c>
      <c r="AG106" s="320" t="s">
        <v>45</v>
      </c>
      <c r="AH106" s="320" t="s">
        <v>45</v>
      </c>
      <c r="AI106" s="320" t="s">
        <v>45</v>
      </c>
      <c r="AJ106" s="762"/>
      <c r="AK106" s="53">
        <v>45992</v>
      </c>
      <c r="AL106" s="702">
        <v>45992</v>
      </c>
      <c r="AM106" s="761">
        <f t="shared" si="73"/>
        <v>0</v>
      </c>
      <c r="AN106" s="761" t="str">
        <f t="shared" si="49"/>
        <v>-</v>
      </c>
      <c r="AO106" s="762" t="s">
        <v>56</v>
      </c>
      <c r="AP106" s="762" t="s">
        <v>317</v>
      </c>
      <c r="AQ106" s="702">
        <v>44483</v>
      </c>
      <c r="AR106" s="762" t="s">
        <v>58</v>
      </c>
      <c r="AS106" s="702">
        <v>44483</v>
      </c>
      <c r="AT106" s="762" t="s">
        <v>45</v>
      </c>
    </row>
    <row r="107" spans="1:47" s="60" customFormat="1" ht="20" x14ac:dyDescent="0.2">
      <c r="A107" s="272"/>
      <c r="B107" s="273"/>
      <c r="C107" s="273"/>
      <c r="D107" s="280" t="s">
        <v>333</v>
      </c>
      <c r="E107" s="281"/>
      <c r="F107" s="34"/>
      <c r="G107" s="34" t="s">
        <v>334</v>
      </c>
      <c r="H107" s="40">
        <f>SUM(H100:H106)</f>
        <v>95361</v>
      </c>
      <c r="I107" s="40"/>
      <c r="J107" s="42">
        <f>SUM(J100:J106)</f>
        <v>12747.94</v>
      </c>
      <c r="K107" s="42"/>
      <c r="L107" s="42">
        <f>SUM(L100:L106)</f>
        <v>648454.80000000005</v>
      </c>
      <c r="M107" s="42"/>
      <c r="N107" s="42"/>
      <c r="O107" s="42"/>
      <c r="P107" s="42"/>
      <c r="Q107" s="52"/>
      <c r="R107" s="52"/>
      <c r="S107" s="43"/>
      <c r="T107" s="44"/>
      <c r="U107" s="43"/>
      <c r="V107" s="369" t="str">
        <f t="shared" si="71"/>
        <v/>
      </c>
      <c r="W107" s="372"/>
      <c r="X107" s="43"/>
      <c r="Y107" s="372"/>
      <c r="Z107" s="372"/>
      <c r="AA107" s="372"/>
      <c r="AB107" s="372"/>
      <c r="AC107" s="372"/>
      <c r="AD107" s="52"/>
      <c r="AE107" s="369" t="str">
        <f>IF(ISBLANK(AL107),"",IFERROR(LOOKUP(AL107,FY_dates, intra_label),AL107))</f>
        <v/>
      </c>
      <c r="AF107" s="372"/>
      <c r="AG107" s="369"/>
      <c r="AH107" s="369"/>
      <c r="AI107" s="369"/>
      <c r="AJ107" s="369"/>
      <c r="AK107" s="257"/>
      <c r="AL107" s="52"/>
      <c r="AM107" s="657"/>
      <c r="AN107" s="657"/>
      <c r="AO107" s="369"/>
      <c r="AP107" s="369"/>
      <c r="AQ107" s="52"/>
      <c r="AR107" s="369"/>
      <c r="AS107" s="52"/>
      <c r="AT107" s="369"/>
    </row>
    <row r="108" spans="1:47" ht="20" x14ac:dyDescent="0.2">
      <c r="A108" s="288"/>
      <c r="B108" s="288"/>
      <c r="C108" s="289"/>
      <c r="D108" s="290" t="s">
        <v>335</v>
      </c>
      <c r="E108" s="33"/>
      <c r="F108" s="33"/>
      <c r="G108" s="34" t="s">
        <v>336</v>
      </c>
      <c r="H108" s="35">
        <f>J108/(1360*0.7)</f>
        <v>55.914852941176477</v>
      </c>
      <c r="I108" s="35"/>
      <c r="J108" s="36">
        <f>J28+J7+J67+J77+J80+J90+J98+J107+J33</f>
        <v>53230.94</v>
      </c>
      <c r="K108" s="36"/>
      <c r="L108" s="36">
        <f>L28+L7+L67+L77+L80+L90+L98+L107+L33</f>
        <v>1176890.8</v>
      </c>
      <c r="M108" s="226"/>
      <c r="N108" s="36"/>
      <c r="O108" s="756"/>
      <c r="P108" s="756"/>
      <c r="Q108" s="702"/>
      <c r="R108" s="702"/>
      <c r="S108" s="756"/>
      <c r="T108" s="756"/>
      <c r="U108" s="756"/>
      <c r="V108" s="762" t="str">
        <f t="shared" si="71"/>
        <v/>
      </c>
      <c r="W108" s="756"/>
      <c r="X108" s="756"/>
      <c r="Y108" s="320"/>
      <c r="Z108" s="320"/>
      <c r="AA108" s="320"/>
      <c r="AB108" s="320"/>
      <c r="AC108" s="770"/>
      <c r="AD108" s="702"/>
      <c r="AE108" s="762" t="str">
        <f>IF(ISBLANK(AL108),"",IFERROR(LOOKUP(AL108,FY_dates, intra_label),AL108))</f>
        <v/>
      </c>
      <c r="AF108" s="316"/>
      <c r="AG108" s="762"/>
      <c r="AH108" s="762"/>
      <c r="AI108" s="762"/>
      <c r="AJ108" s="762"/>
      <c r="AK108" s="256"/>
      <c r="AL108" s="702"/>
      <c r="AM108" s="761"/>
      <c r="AN108" s="761"/>
      <c r="AO108" s="762"/>
      <c r="AP108" s="762"/>
      <c r="AQ108" s="702"/>
      <c r="AR108" s="762"/>
      <c r="AS108" s="702"/>
      <c r="AT108" s="762"/>
    </row>
    <row r="109" spans="1:47" ht="34" x14ac:dyDescent="0.2">
      <c r="A109" s="222"/>
      <c r="B109" s="222"/>
      <c r="C109" s="223"/>
      <c r="D109" s="32" t="s">
        <v>337</v>
      </c>
      <c r="E109" s="33"/>
      <c r="F109" s="33"/>
      <c r="G109" s="34"/>
      <c r="H109" s="35">
        <f>J109/(1360*0.7)</f>
        <v>42.524159663865554</v>
      </c>
      <c r="I109" s="35"/>
      <c r="J109" s="36">
        <f>J108-J107</f>
        <v>40483</v>
      </c>
      <c r="K109" s="36"/>
      <c r="L109" s="36">
        <f>L108-L107</f>
        <v>528436</v>
      </c>
      <c r="M109" s="225"/>
      <c r="N109" s="224"/>
      <c r="O109" s="784"/>
      <c r="P109" s="784"/>
      <c r="Q109" s="710"/>
      <c r="R109" s="710"/>
      <c r="S109" s="784"/>
      <c r="T109" s="784"/>
      <c r="U109" s="784"/>
      <c r="V109" s="785"/>
      <c r="W109" s="784"/>
      <c r="X109" s="784"/>
      <c r="AC109" s="786"/>
      <c r="AD109" s="710"/>
      <c r="AE109" s="785"/>
      <c r="AF109" s="383"/>
      <c r="AJ109" s="786"/>
      <c r="AK109" s="258"/>
      <c r="AL109" s="710"/>
      <c r="AM109" s="787"/>
      <c r="AN109" s="787"/>
      <c r="AO109" s="785"/>
      <c r="AP109" s="785"/>
      <c r="AQ109" s="710"/>
      <c r="AR109" s="785"/>
      <c r="AS109" s="710"/>
      <c r="AT109" s="785"/>
    </row>
    <row r="110" spans="1:47" x14ac:dyDescent="0.2">
      <c r="A110" s="2" t="s">
        <v>338</v>
      </c>
      <c r="B110" s="2"/>
      <c r="L110" s="51"/>
      <c r="AC110" s="786"/>
      <c r="AJ110" s="786"/>
    </row>
    <row r="111" spans="1:47" x14ac:dyDescent="0.2">
      <c r="C111" s="13" t="s">
        <v>339</v>
      </c>
      <c r="D111" s="13" t="s">
        <v>340</v>
      </c>
      <c r="L111" s="51"/>
      <c r="AC111" s="786"/>
      <c r="AJ111" s="786"/>
    </row>
    <row r="112" spans="1:47" x14ac:dyDescent="0.2">
      <c r="C112" s="13" t="s">
        <v>341</v>
      </c>
      <c r="D112" s="13" t="s">
        <v>342</v>
      </c>
      <c r="E112" s="220">
        <v>44885</v>
      </c>
      <c r="F112" s="8" t="s">
        <v>343</v>
      </c>
      <c r="L112" s="221">
        <f>SUMIFS(weight,date_completion,"&lt;"&amp;$E$112)</f>
        <v>304660</v>
      </c>
      <c r="M112" s="621">
        <f>L112+L97+L96</f>
        <v>323180</v>
      </c>
      <c r="AC112" s="786"/>
      <c r="AJ112" s="786"/>
    </row>
    <row r="113" spans="1:36" x14ac:dyDescent="0.2">
      <c r="C113" s="13" t="s">
        <v>344</v>
      </c>
      <c r="D113" s="13" t="s">
        <v>345</v>
      </c>
      <c r="F113" s="8" t="s">
        <v>346</v>
      </c>
      <c r="L113" s="221">
        <f>SUMIFS(weight,date_completion,"&gt;"&amp;$E$112)</f>
        <v>247575</v>
      </c>
      <c r="AC113" s="786"/>
      <c r="AJ113" s="786"/>
    </row>
    <row r="114" spans="1:36" x14ac:dyDescent="0.2">
      <c r="C114" s="13" t="s">
        <v>347</v>
      </c>
      <c r="D114" s="13" t="s">
        <v>348</v>
      </c>
      <c r="F114" s="8" t="s">
        <v>349</v>
      </c>
      <c r="L114" s="221">
        <f>L113+L112</f>
        <v>552235</v>
      </c>
      <c r="AC114" s="786"/>
      <c r="AJ114" s="786"/>
    </row>
    <row r="115" spans="1:36" x14ac:dyDescent="0.2">
      <c r="C115" s="13" t="s">
        <v>350</v>
      </c>
      <c r="D115" s="13" t="s">
        <v>351</v>
      </c>
      <c r="L115" s="221">
        <f>L108-L107</f>
        <v>528436</v>
      </c>
      <c r="AC115" s="786"/>
      <c r="AJ115" s="786"/>
    </row>
    <row r="116" spans="1:36" x14ac:dyDescent="0.2">
      <c r="C116" s="13" t="s">
        <v>352</v>
      </c>
      <c r="D116" s="13" t="s">
        <v>353</v>
      </c>
      <c r="AC116" s="786"/>
      <c r="AJ116" s="786"/>
    </row>
    <row r="117" spans="1:36" x14ac:dyDescent="0.2">
      <c r="C117" s="13" t="s">
        <v>354</v>
      </c>
      <c r="D117" s="13" t="s">
        <v>355</v>
      </c>
      <c r="AC117" s="786"/>
      <c r="AJ117" s="786"/>
    </row>
    <row r="118" spans="1:36" x14ac:dyDescent="0.2">
      <c r="C118" s="13" t="s">
        <v>356</v>
      </c>
      <c r="D118" s="13" t="s">
        <v>357</v>
      </c>
      <c r="AC118" s="786"/>
      <c r="AJ118" s="786"/>
    </row>
    <row r="119" spans="1:36" x14ac:dyDescent="0.2">
      <c r="C119" s="13" t="s">
        <v>358</v>
      </c>
      <c r="D119" s="13" t="s">
        <v>359</v>
      </c>
      <c r="AC119" s="786"/>
      <c r="AJ119" s="786"/>
    </row>
    <row r="120" spans="1:36" x14ac:dyDescent="0.2">
      <c r="C120" s="13" t="s">
        <v>360</v>
      </c>
      <c r="D120" s="13" t="s">
        <v>361</v>
      </c>
      <c r="AC120" s="786"/>
      <c r="AJ120" s="786"/>
    </row>
    <row r="121" spans="1:36" x14ac:dyDescent="0.2">
      <c r="A121" s="2"/>
      <c r="B121" s="2"/>
      <c r="C121" s="13" t="s">
        <v>362</v>
      </c>
      <c r="D121" s="13" t="s">
        <v>363</v>
      </c>
      <c r="J121" s="51"/>
      <c r="K121" s="51"/>
      <c r="L121" s="51"/>
      <c r="M121" s="69"/>
      <c r="AC121" s="786"/>
      <c r="AJ121" s="786"/>
    </row>
    <row r="122" spans="1:36" x14ac:dyDescent="0.2">
      <c r="A122" s="2"/>
      <c r="B122" s="2"/>
      <c r="C122" s="13" t="s">
        <v>1</v>
      </c>
      <c r="D122" s="13" t="s">
        <v>364</v>
      </c>
      <c r="AC122" s="786"/>
      <c r="AJ122" s="786"/>
    </row>
    <row r="123" spans="1:36" x14ac:dyDescent="0.2">
      <c r="C123" s="13" t="s">
        <v>365</v>
      </c>
      <c r="D123" s="13" t="s">
        <v>366</v>
      </c>
      <c r="AC123" s="786"/>
      <c r="AJ123" s="786"/>
    </row>
    <row r="125" spans="1:36" x14ac:dyDescent="0.2">
      <c r="C125" s="13" t="s">
        <v>367</v>
      </c>
      <c r="D125" s="13" t="s">
        <v>368</v>
      </c>
      <c r="AC125" s="786"/>
      <c r="AJ125" s="786"/>
    </row>
    <row r="126" spans="1:36" x14ac:dyDescent="0.2">
      <c r="C126" s="13" t="s">
        <v>369</v>
      </c>
      <c r="D126" s="13" t="s">
        <v>370</v>
      </c>
      <c r="AC126" s="786"/>
      <c r="AJ126" s="786"/>
    </row>
    <row r="127" spans="1:36" x14ac:dyDescent="0.2">
      <c r="C127" s="13" t="s">
        <v>371</v>
      </c>
      <c r="D127" s="13" t="s">
        <v>372</v>
      </c>
      <c r="AC127" s="786"/>
      <c r="AJ127" s="786"/>
    </row>
    <row r="129" spans="1:23" x14ac:dyDescent="0.2">
      <c r="C129" s="13" t="s">
        <v>132</v>
      </c>
      <c r="D129" s="13" t="s">
        <v>373</v>
      </c>
    </row>
    <row r="130" spans="1:23" x14ac:dyDescent="0.2">
      <c r="C130" s="13" t="s">
        <v>374</v>
      </c>
      <c r="D130" s="13" t="s">
        <v>375</v>
      </c>
      <c r="F130" s="51"/>
    </row>
    <row r="131" spans="1:23" x14ac:dyDescent="0.2">
      <c r="M131" s="621"/>
    </row>
    <row r="132" spans="1:23" x14ac:dyDescent="0.2">
      <c r="D132" s="49"/>
    </row>
    <row r="133" spans="1:23" ht="17" thickBot="1" x14ac:dyDescent="0.25">
      <c r="D133" s="49"/>
      <c r="F133" s="59"/>
    </row>
    <row r="134" spans="1:23" x14ac:dyDescent="0.2">
      <c r="A134" s="821" t="s">
        <v>376</v>
      </c>
      <c r="B134" s="822"/>
      <c r="C134" s="55" t="s">
        <v>377</v>
      </c>
      <c r="D134" s="56" t="s">
        <v>378</v>
      </c>
      <c r="E134" s="815" t="s">
        <v>379</v>
      </c>
      <c r="F134" s="815"/>
      <c r="G134" s="8" t="s">
        <v>380</v>
      </c>
    </row>
    <row r="135" spans="1:23" x14ac:dyDescent="0.2">
      <c r="A135" s="819" t="s">
        <v>54</v>
      </c>
      <c r="B135" s="820"/>
      <c r="C135" s="239">
        <f>SUMIFS(volume,inter_shipping_label,"In McMurdo")</f>
        <v>20513</v>
      </c>
      <c r="D135" s="240">
        <f>SUMIFS(weight,inter_shipping_label,"In McMurdo")</f>
        <v>205787</v>
      </c>
      <c r="E135" s="815"/>
      <c r="F135" s="815"/>
    </row>
    <row r="136" spans="1:23" x14ac:dyDescent="0.2">
      <c r="A136" s="819" t="s">
        <v>121</v>
      </c>
      <c r="B136" s="820"/>
      <c r="C136" s="239">
        <f>SUMIFS(volume,inter_shipping_label,"At South Pole")</f>
        <v>733</v>
      </c>
      <c r="D136" s="240">
        <f>SUMIFS(weight,inter_shipping_label,"At South Pole")</f>
        <v>12241</v>
      </c>
      <c r="E136" s="815"/>
      <c r="F136" s="815"/>
    </row>
    <row r="137" spans="1:23" x14ac:dyDescent="0.2">
      <c r="A137" s="819" t="s">
        <v>381</v>
      </c>
      <c r="B137" s="820"/>
      <c r="C137" s="239">
        <f>SUMIFS(volume,inter_shipping_label,"*inter")</f>
        <v>31984.940000000002</v>
      </c>
      <c r="D137" s="240">
        <f>SUMIFS(weight,inter_shipping_label,"*inter")</f>
        <v>958862.79999999993</v>
      </c>
      <c r="E137" s="815"/>
      <c r="F137" s="815"/>
    </row>
    <row r="138" spans="1:23" ht="17" thickBot="1" x14ac:dyDescent="0.25">
      <c r="A138" s="817" t="s">
        <v>382</v>
      </c>
      <c r="B138" s="818"/>
      <c r="C138" s="241">
        <f>SUMIFS(volume,intra_shipping_label,"*intra")</f>
        <v>52497.94000000001</v>
      </c>
      <c r="D138" s="242">
        <f>SUMIFS(weight,intra_shipping_label,"* intra")</f>
        <v>1164649.8</v>
      </c>
      <c r="E138" s="815"/>
      <c r="F138" s="815"/>
      <c r="K138" s="59"/>
      <c r="W138" s="59"/>
    </row>
    <row r="139" spans="1:23" ht="17" thickBot="1" x14ac:dyDescent="0.25">
      <c r="C139" s="243"/>
      <c r="D139" s="243"/>
    </row>
    <row r="140" spans="1:23" x14ac:dyDescent="0.2">
      <c r="A140" s="821" t="s">
        <v>383</v>
      </c>
      <c r="B140" s="822"/>
      <c r="C140" s="244" t="s">
        <v>377</v>
      </c>
      <c r="D140" s="245" t="s">
        <v>378</v>
      </c>
      <c r="E140" s="816" t="s">
        <v>379</v>
      </c>
      <c r="F140" s="815"/>
      <c r="G140" s="51"/>
    </row>
    <row r="141" spans="1:23" x14ac:dyDescent="0.2">
      <c r="A141" s="819" t="s">
        <v>384</v>
      </c>
      <c r="B141" s="820"/>
      <c r="C141" s="239">
        <f>C137+C135+C136</f>
        <v>53230.94</v>
      </c>
      <c r="D141" s="239">
        <f>D137+D135+D136</f>
        <v>1176890.7999999998</v>
      </c>
      <c r="E141" s="816"/>
      <c r="F141" s="815"/>
      <c r="G141" s="51"/>
    </row>
    <row r="142" spans="1:23" ht="17" thickBot="1" x14ac:dyDescent="0.25">
      <c r="A142" s="817" t="s">
        <v>385</v>
      </c>
      <c r="B142" s="818"/>
      <c r="C142" s="241">
        <f>C138+C136</f>
        <v>53230.94000000001</v>
      </c>
      <c r="D142" s="241">
        <f>D138+D136</f>
        <v>1176890.8</v>
      </c>
      <c r="E142" s="816"/>
      <c r="F142" s="815"/>
    </row>
    <row r="144" spans="1:23" x14ac:dyDescent="0.2">
      <c r="A144" s="2" t="s">
        <v>386</v>
      </c>
      <c r="B144" s="2" t="s">
        <v>387</v>
      </c>
      <c r="C144" s="13" t="s">
        <v>388</v>
      </c>
      <c r="D144" s="13" t="s">
        <v>389</v>
      </c>
    </row>
    <row r="145" spans="1:7" x14ac:dyDescent="0.2">
      <c r="A145" s="67">
        <v>44470</v>
      </c>
      <c r="B145" s="67">
        <v>44834</v>
      </c>
      <c r="C145" s="95" t="s">
        <v>390</v>
      </c>
      <c r="D145" s="95" t="s">
        <v>391</v>
      </c>
    </row>
    <row r="146" spans="1:7" x14ac:dyDescent="0.2">
      <c r="A146" s="67">
        <v>44835</v>
      </c>
      <c r="B146" s="67">
        <v>45199</v>
      </c>
      <c r="C146" s="95" t="s">
        <v>173</v>
      </c>
      <c r="D146" s="95" t="s">
        <v>175</v>
      </c>
    </row>
    <row r="147" spans="1:7" x14ac:dyDescent="0.2">
      <c r="A147" s="67">
        <v>45231</v>
      </c>
      <c r="B147" s="67">
        <v>45565</v>
      </c>
      <c r="C147" s="95" t="s">
        <v>245</v>
      </c>
      <c r="D147" s="95" t="s">
        <v>392</v>
      </c>
    </row>
    <row r="148" spans="1:7" x14ac:dyDescent="0.2">
      <c r="A148" s="67">
        <v>45597</v>
      </c>
      <c r="B148" s="67">
        <v>45930</v>
      </c>
      <c r="C148" s="95" t="s">
        <v>393</v>
      </c>
      <c r="D148" s="95" t="s">
        <v>394</v>
      </c>
    </row>
    <row r="149" spans="1:7" x14ac:dyDescent="0.2">
      <c r="A149" s="67">
        <v>45962</v>
      </c>
      <c r="B149" s="67">
        <v>46295</v>
      </c>
      <c r="C149" s="95" t="s">
        <v>395</v>
      </c>
      <c r="D149" s="95" t="s">
        <v>396</v>
      </c>
    </row>
    <row r="152" spans="1:7" x14ac:dyDescent="0.2">
      <c r="D152" s="240"/>
      <c r="G152" s="51"/>
    </row>
    <row r="154" spans="1:7" x14ac:dyDescent="0.2">
      <c r="A154" s="2" t="s">
        <v>397</v>
      </c>
      <c r="B154" s="8" t="s">
        <v>398</v>
      </c>
    </row>
    <row r="155" spans="1:7" x14ac:dyDescent="0.2">
      <c r="A155" s="8" t="s">
        <v>399</v>
      </c>
      <c r="B155" s="220">
        <v>44896</v>
      </c>
    </row>
    <row r="156" spans="1:7" x14ac:dyDescent="0.2">
      <c r="A156" s="8" t="s">
        <v>400</v>
      </c>
      <c r="B156" s="220">
        <v>44927</v>
      </c>
    </row>
    <row r="157" spans="1:7" x14ac:dyDescent="0.2">
      <c r="A157" s="8" t="s">
        <v>401</v>
      </c>
      <c r="B157" s="220">
        <v>44958</v>
      </c>
    </row>
    <row r="158" spans="1:7" x14ac:dyDescent="0.2">
      <c r="A158" s="8" t="s">
        <v>402</v>
      </c>
      <c r="B158" s="220">
        <v>45261</v>
      </c>
    </row>
    <row r="159" spans="1:7" x14ac:dyDescent="0.2">
      <c r="A159" s="8" t="s">
        <v>403</v>
      </c>
      <c r="B159" s="220">
        <v>45292</v>
      </c>
    </row>
    <row r="160" spans="1:7" x14ac:dyDescent="0.2">
      <c r="A160" s="8" t="s">
        <v>404</v>
      </c>
      <c r="B160" s="220">
        <v>45323</v>
      </c>
    </row>
    <row r="161" spans="1:2" x14ac:dyDescent="0.2">
      <c r="A161" s="8" t="s">
        <v>405</v>
      </c>
      <c r="B161" s="220">
        <v>45627</v>
      </c>
    </row>
    <row r="162" spans="1:2" x14ac:dyDescent="0.2">
      <c r="A162" s="8" t="s">
        <v>406</v>
      </c>
      <c r="B162" s="220">
        <v>45658</v>
      </c>
    </row>
    <row r="163" spans="1:2" x14ac:dyDescent="0.2">
      <c r="A163" s="8" t="s">
        <v>407</v>
      </c>
      <c r="B163" s="220">
        <v>45689</v>
      </c>
    </row>
    <row r="164" spans="1:2" x14ac:dyDescent="0.2">
      <c r="A164" s="8" t="s">
        <v>408</v>
      </c>
      <c r="B164" s="220">
        <v>45992</v>
      </c>
    </row>
    <row r="165" spans="1:2" x14ac:dyDescent="0.2">
      <c r="A165" s="8" t="s">
        <v>409</v>
      </c>
      <c r="B165" s="220">
        <v>46023</v>
      </c>
    </row>
    <row r="166" spans="1:2" x14ac:dyDescent="0.2">
      <c r="A166" s="8" t="s">
        <v>410</v>
      </c>
      <c r="B166" s="220">
        <v>46054</v>
      </c>
    </row>
  </sheetData>
  <sortState xmlns:xlrd2="http://schemas.microsoft.com/office/spreadsheetml/2017/richdata2" ref="A36:AT124">
    <sortCondition descending="1" ref="AL1:AL124"/>
  </sortState>
  <mergeCells count="11">
    <mergeCell ref="Y68:AB68"/>
    <mergeCell ref="E134:F138"/>
    <mergeCell ref="E140:F142"/>
    <mergeCell ref="A142:B142"/>
    <mergeCell ref="A137:B137"/>
    <mergeCell ref="A138:B138"/>
    <mergeCell ref="A134:B134"/>
    <mergeCell ref="A140:B140"/>
    <mergeCell ref="A141:B141"/>
    <mergeCell ref="A135:B135"/>
    <mergeCell ref="A136:B136"/>
  </mergeCells>
  <phoneticPr fontId="11" type="noConversion"/>
  <conditionalFormatting sqref="D141:D142 C134:C142">
    <cfRule type="cellIs" dxfId="94" priority="28" operator="equal">
      <formula>$J$108</formula>
    </cfRule>
  </conditionalFormatting>
  <conditionalFormatting sqref="D141:D142">
    <cfRule type="cellIs" dxfId="93" priority="29" operator="equal">
      <formula>$L$108</formula>
    </cfRule>
  </conditionalFormatting>
  <conditionalFormatting sqref="P107:P109 P98:P99">
    <cfRule type="cellIs" dxfId="92" priority="26" operator="between">
      <formula>31</formula>
      <formula>60</formula>
    </cfRule>
    <cfRule type="cellIs" dxfId="91" priority="27" operator="between">
      <formula>0.1</formula>
      <formula>30</formula>
    </cfRule>
  </conditionalFormatting>
  <conditionalFormatting sqref="D135:D137">
    <cfRule type="cellIs" dxfId="90" priority="15" operator="equal">
      <formula>$J$108</formula>
    </cfRule>
  </conditionalFormatting>
  <conditionalFormatting sqref="D138">
    <cfRule type="cellIs" dxfId="89" priority="14" operator="equal">
      <formula>$J$108</formula>
    </cfRule>
  </conditionalFormatting>
  <conditionalFormatting sqref="D152">
    <cfRule type="cellIs" dxfId="88" priority="13" operator="equal">
      <formula>$J$108</formula>
    </cfRule>
  </conditionalFormatting>
  <conditionalFormatting sqref="P2:P97">
    <cfRule type="cellIs" dxfId="87" priority="11" operator="between">
      <formula>31</formula>
      <formula>60</formula>
    </cfRule>
    <cfRule type="cellIs" dxfId="86" priority="12" operator="between">
      <formula>0.1</formula>
      <formula>30</formula>
    </cfRule>
  </conditionalFormatting>
  <conditionalFormatting sqref="P28 P30:P33">
    <cfRule type="cellIs" dxfId="85" priority="9" operator="between">
      <formula>31</formula>
      <formula>60</formula>
    </cfRule>
    <cfRule type="cellIs" dxfId="84" priority="10" operator="between">
      <formula>0.1</formula>
      <formula>30</formula>
    </cfRule>
  </conditionalFormatting>
  <conditionalFormatting sqref="S30:S32">
    <cfRule type="cellIs" dxfId="83" priority="3" operator="between">
      <formula>31</formula>
      <formula>60</formula>
    </cfRule>
    <cfRule type="cellIs" dxfId="82" priority="4" operator="between">
      <formula>0.1</formula>
      <formula>30</formula>
    </cfRule>
  </conditionalFormatting>
  <conditionalFormatting sqref="S30:S32">
    <cfRule type="cellIs" dxfId="81" priority="1" operator="between">
      <formula>31</formula>
      <formula>60</formula>
    </cfRule>
    <cfRule type="cellIs" dxfId="80" priority="2" operator="between">
      <formula>0.1</formula>
      <formula>30</formula>
    </cfRule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51227-A1BF-9649-84CF-3643D6340594}">
  <dimension ref="B1:F154"/>
  <sheetViews>
    <sheetView workbookViewId="0">
      <selection activeCell="D86" sqref="D86"/>
    </sheetView>
  </sheetViews>
  <sheetFormatPr baseColWidth="10" defaultColWidth="10.83203125" defaultRowHeight="16" x14ac:dyDescent="0.2"/>
  <cols>
    <col min="1" max="1" width="10.83203125" style="685"/>
    <col min="2" max="2" width="41.33203125" style="749" customWidth="1"/>
    <col min="3" max="3" width="16.33203125" style="862" customWidth="1"/>
    <col min="4" max="4" width="24.83203125" style="686" customWidth="1"/>
    <col min="5" max="5" width="18.83203125" style="686" customWidth="1"/>
    <col min="6" max="6" width="20.6640625" style="686" customWidth="1"/>
    <col min="7" max="16384" width="10.83203125" style="685"/>
  </cols>
  <sheetData>
    <row r="1" spans="2:6" ht="68" x14ac:dyDescent="0.2">
      <c r="B1" s="846" t="s">
        <v>411</v>
      </c>
      <c r="C1" s="852" t="str">
        <f>'MASTER INPUT SHEET'!N1</f>
        <v>Special Handling?</v>
      </c>
      <c r="D1" s="847" t="str">
        <f>'MASTER INPUT SHEET'!P1</f>
        <v xml:space="preserve">SHIPMENT FLOAT: Time between completion and 
ship-by-date to USAP site </v>
      </c>
      <c r="E1" s="848" t="str">
        <f>'MASTER INPUT SHEET'!AM1</f>
        <v>FLOAT AT NPX (delivery to required) [days]</v>
      </c>
      <c r="F1" s="849" t="str">
        <f>'MASTER INPUT SHEET'!AN1</f>
        <v>Total Time Between Ship-By-Date and Latest Arrival Date at NPX [days]</v>
      </c>
    </row>
    <row r="2" spans="2:6" ht="17" x14ac:dyDescent="0.2">
      <c r="B2" s="844" t="str" cm="1">
        <f t="array" ref="B2:B82">_xlfn._xlws.FILTER(item_description, item_description&lt;&gt;0)</f>
        <v>-</v>
      </c>
      <c r="C2" s="853" t="str" cm="1">
        <f t="array" ref="C2:C82">_xlfn._xlws.FILTER(special_handling, item_description&lt;&gt;0)</f>
        <v>-</v>
      </c>
      <c r="D2" s="850" t="str" cm="1">
        <f t="array" ref="D2:D82">_xlfn._xlws.FILTER(shipping_float, item_description&lt;&gt;0)</f>
        <v>-</v>
      </c>
      <c r="E2" s="850" t="str" cm="1">
        <f t="array" ref="E2:E82">_xlfn._xlws.FILTER(npx_float, item_description&lt;&gt;0)</f>
        <v>-</v>
      </c>
      <c r="F2" s="850" t="str" cm="1">
        <f t="array" ref="F2:F82">_xlfn._xlws.FILTER(transit_time, item_description&lt;&gt;0)</f>
        <v>-</v>
      </c>
    </row>
    <row r="3" spans="2:6" ht="17" x14ac:dyDescent="0.2">
      <c r="B3" s="843" t="str">
        <v>-</v>
      </c>
      <c r="C3" s="854" t="str">
        <v>-</v>
      </c>
      <c r="D3" s="851" t="str">
        <v>-</v>
      </c>
      <c r="E3" s="851" t="str">
        <v>-</v>
      </c>
      <c r="F3" s="851" t="str">
        <v>-</v>
      </c>
    </row>
    <row r="4" spans="2:6" ht="17" x14ac:dyDescent="0.2">
      <c r="B4" s="843" t="str">
        <v>-</v>
      </c>
      <c r="C4" s="854" t="str">
        <v>-</v>
      </c>
      <c r="D4" s="851" t="str">
        <v>-</v>
      </c>
      <c r="E4" s="851" t="str">
        <v>-</v>
      </c>
      <c r="F4" s="851" t="str">
        <v>-</v>
      </c>
    </row>
    <row r="5" spans="2:6" ht="17" x14ac:dyDescent="0.2">
      <c r="B5" s="843" t="str">
        <v>-</v>
      </c>
      <c r="C5" s="854" t="str">
        <v>-</v>
      </c>
      <c r="D5" s="851" t="str">
        <v>-</v>
      </c>
      <c r="E5" s="851" t="str">
        <v>-</v>
      </c>
      <c r="F5" s="851" t="str">
        <v>-</v>
      </c>
    </row>
    <row r="6" spans="2:6" ht="17" x14ac:dyDescent="0.2">
      <c r="B6" s="843" t="str">
        <v>Gen 1 - housed in 20' container</v>
      </c>
      <c r="C6" s="854" t="str">
        <v>-</v>
      </c>
      <c r="D6" s="851" t="str">
        <v>In McMurdo</v>
      </c>
      <c r="E6" s="851">
        <v>334</v>
      </c>
      <c r="F6" s="851" t="str">
        <v>-</v>
      </c>
    </row>
    <row r="7" spans="2:6" ht="17" x14ac:dyDescent="0.2">
      <c r="B7" s="844" t="str">
        <v>Gen 2 - housed in 20' container</v>
      </c>
      <c r="C7" s="855" t="str">
        <v>-</v>
      </c>
      <c r="D7" s="850" t="str">
        <v>In McMurdo</v>
      </c>
      <c r="E7" s="850">
        <v>0</v>
      </c>
      <c r="F7" s="850" t="str">
        <v>-</v>
      </c>
    </row>
    <row r="8" spans="2:6" ht="17" x14ac:dyDescent="0.2">
      <c r="B8" s="843" t="str">
        <v>Gen 3 - housed in 20' container</v>
      </c>
      <c r="C8" s="854" t="str">
        <v>-</v>
      </c>
      <c r="D8" s="851" t="str">
        <v>In McMurdo</v>
      </c>
      <c r="E8" s="851">
        <v>334</v>
      </c>
      <c r="F8" s="851" t="str">
        <v>-</v>
      </c>
    </row>
    <row r="9" spans="2:6" ht="17" x14ac:dyDescent="0.2">
      <c r="B9" s="843" t="str">
        <v>Gen Discharge Hoods (bermed)</v>
      </c>
      <c r="C9" s="854" t="str">
        <v>-</v>
      </c>
      <c r="D9" s="851" t="str">
        <v>In McMurdo</v>
      </c>
      <c r="E9" s="851">
        <v>376</v>
      </c>
      <c r="F9" s="851" t="str">
        <v>-</v>
      </c>
    </row>
    <row r="10" spans="2:6" ht="17" x14ac:dyDescent="0.2">
      <c r="B10" s="843" t="str">
        <v>Firn Drill</v>
      </c>
      <c r="C10" s="854" t="str">
        <v>-</v>
      </c>
      <c r="D10" s="851" t="str">
        <v>In McMurdo</v>
      </c>
      <c r="E10" s="851">
        <v>348</v>
      </c>
      <c r="F10" s="851" t="str">
        <v>-</v>
      </c>
    </row>
    <row r="11" spans="2:6" ht="17" x14ac:dyDescent="0.2">
      <c r="B11" s="843" t="str">
        <v>Weight stack and crates</v>
      </c>
      <c r="C11" s="854" t="str">
        <v>-</v>
      </c>
      <c r="D11" s="851" t="str">
        <v>In McMurdo</v>
      </c>
      <c r="E11" s="851">
        <v>1096</v>
      </c>
      <c r="F11" s="851" t="str">
        <v>-</v>
      </c>
    </row>
    <row r="12" spans="2:6" ht="17" x14ac:dyDescent="0.2">
      <c r="B12" s="844" t="str">
        <v>Fuel Tower</v>
      </c>
      <c r="C12" s="855" t="str">
        <v>-</v>
      </c>
      <c r="D12" s="850" t="str">
        <v>In McMurdo</v>
      </c>
      <c r="E12" s="850">
        <v>369</v>
      </c>
      <c r="F12" s="850" t="str">
        <v>-</v>
      </c>
    </row>
    <row r="13" spans="2:6" ht="17" x14ac:dyDescent="0.2">
      <c r="B13" s="843" t="str">
        <v>HPU 2</v>
      </c>
      <c r="C13" s="854" t="str">
        <v>-</v>
      </c>
      <c r="D13" s="851" t="str">
        <v>In McMurdo</v>
      </c>
      <c r="E13" s="851">
        <v>350</v>
      </c>
      <c r="F13" s="851" t="str">
        <v>-</v>
      </c>
    </row>
    <row r="14" spans="2:6" ht="17" x14ac:dyDescent="0.2">
      <c r="B14" s="843" t="str">
        <v>8' Refit Container</v>
      </c>
      <c r="C14" s="854" t="str">
        <v>-</v>
      </c>
      <c r="D14" s="851" t="str">
        <v>In McMurdo</v>
      </c>
      <c r="E14" s="851">
        <v>348</v>
      </c>
      <c r="F14" s="851">
        <v>728</v>
      </c>
    </row>
    <row r="15" spans="2:6" ht="17" x14ac:dyDescent="0.2">
      <c r="B15" s="843" t="str">
        <v>20' Refit Container A</v>
      </c>
      <c r="C15" s="854" t="str">
        <v>-</v>
      </c>
      <c r="D15" s="851" t="str">
        <v>In McMurdo</v>
      </c>
      <c r="E15" s="851">
        <v>317</v>
      </c>
      <c r="F15" s="851">
        <v>728</v>
      </c>
    </row>
    <row r="16" spans="2:6" ht="17" x14ac:dyDescent="0.2">
      <c r="B16" s="843" t="str">
        <v>20' Refit Container B</v>
      </c>
      <c r="C16" s="854" t="str">
        <v>-</v>
      </c>
      <c r="D16" s="851" t="str">
        <v>In McMurdo</v>
      </c>
      <c r="E16" s="851">
        <v>348</v>
      </c>
      <c r="F16" s="851">
        <v>773</v>
      </c>
    </row>
    <row r="17" spans="2:6" ht="51" x14ac:dyDescent="0.2">
      <c r="B17" s="844" t="str">
        <v>ARA Trailer</v>
      </c>
      <c r="C17" s="855" t="str">
        <v>FLAMMABLE liquid power engine</v>
      </c>
      <c r="D17" s="850" t="str">
        <v>In McMurdo</v>
      </c>
      <c r="E17" s="850">
        <v>371</v>
      </c>
      <c r="F17" s="850">
        <v>765</v>
      </c>
    </row>
    <row r="18" spans="2:6" ht="17" x14ac:dyDescent="0.2">
      <c r="B18" s="843" t="str">
        <v>Return Water Cable Reel (RWCR)</v>
      </c>
      <c r="C18" s="854" t="str">
        <v>-</v>
      </c>
      <c r="D18" s="851" t="str">
        <v>In McMurdo</v>
      </c>
      <c r="E18" s="851">
        <v>367</v>
      </c>
      <c r="F18" s="851">
        <v>792</v>
      </c>
    </row>
    <row r="19" spans="2:6" ht="17" x14ac:dyDescent="0.2">
      <c r="B19" s="843" t="str">
        <v>Main Cable Reel  (MCR)</v>
      </c>
      <c r="C19" s="854" t="str">
        <v>-</v>
      </c>
      <c r="D19" s="851" t="str">
        <v>In McMurdo</v>
      </c>
      <c r="E19" s="851">
        <v>367</v>
      </c>
      <c r="F19" s="851">
        <v>778</v>
      </c>
    </row>
    <row r="20" spans="2:6" ht="17" x14ac:dyDescent="0.2">
      <c r="B20" s="843" t="str">
        <v xml:space="preserve">Container Ski Stack (comprised of 5 sleds) </v>
      </c>
      <c r="C20" s="854" t="str">
        <v>-</v>
      </c>
      <c r="D20" s="851" t="str">
        <v>In McMurdo</v>
      </c>
      <c r="E20" s="851">
        <v>31</v>
      </c>
      <c r="F20" s="851">
        <v>716</v>
      </c>
    </row>
    <row r="21" spans="2:6" ht="17" x14ac:dyDescent="0.2">
      <c r="B21" s="843" t="str">
        <v xml:space="preserve">Generator Intake Hood </v>
      </c>
      <c r="C21" s="854" t="str">
        <v>-</v>
      </c>
      <c r="D21" s="851" t="str">
        <v>In McMurdo</v>
      </c>
      <c r="E21" s="851">
        <v>376</v>
      </c>
      <c r="F21" s="851">
        <v>1113</v>
      </c>
    </row>
    <row r="22" spans="2:6" ht="17" x14ac:dyDescent="0.2">
      <c r="B22" s="844" t="str">
        <v xml:space="preserve">Generator Discharge Hoods </v>
      </c>
      <c r="C22" s="855" t="str">
        <v>-</v>
      </c>
      <c r="D22" s="850" t="str">
        <v>In McMurdo</v>
      </c>
      <c r="E22" s="850">
        <v>376</v>
      </c>
      <c r="F22" s="850">
        <v>1113</v>
      </c>
    </row>
    <row r="23" spans="2:6" ht="17" x14ac:dyDescent="0.2">
      <c r="B23" s="843" t="str">
        <v>Drill Hose</v>
      </c>
      <c r="C23" s="854" t="str">
        <v>DNDF [-53C]</v>
      </c>
      <c r="D23" s="851" t="str">
        <v>In McMurdo</v>
      </c>
      <c r="E23" s="851">
        <v>14</v>
      </c>
      <c r="F23" s="851">
        <v>1583</v>
      </c>
    </row>
    <row r="24" spans="2:6" ht="17" x14ac:dyDescent="0.2">
      <c r="B24" s="843" t="str">
        <v>Drill Hose</v>
      </c>
      <c r="C24" s="854" t="str">
        <v>DNDF [-53C]</v>
      </c>
      <c r="D24" s="851" t="str">
        <v>In McMurdo</v>
      </c>
      <c r="E24" s="851">
        <v>14</v>
      </c>
      <c r="F24" s="851">
        <v>1430</v>
      </c>
    </row>
    <row r="25" spans="2:6" ht="17" x14ac:dyDescent="0.2">
      <c r="B25" s="843" t="str">
        <v>287 Loader</v>
      </c>
      <c r="C25" s="854" t="str">
        <v>-</v>
      </c>
      <c r="D25" s="851" t="str">
        <v>At South Pole</v>
      </c>
      <c r="E25" s="851" t="str">
        <v>at South Pole</v>
      </c>
      <c r="F25" s="851">
        <v>1477</v>
      </c>
    </row>
    <row r="26" spans="2:6" ht="17" x14ac:dyDescent="0.2">
      <c r="B26" s="843" t="str">
        <v>Firn Drill Components - 1</v>
      </c>
      <c r="C26" s="854" t="str">
        <v>-</v>
      </c>
      <c r="D26" s="851" t="str">
        <v>At South Pole</v>
      </c>
      <c r="E26" s="851" t="str">
        <v>at South Pole</v>
      </c>
      <c r="F26" s="851" t="str">
        <v>-</v>
      </c>
    </row>
    <row r="27" spans="2:6" ht="17" x14ac:dyDescent="0.2">
      <c r="B27" s="844" t="str">
        <v>Firn Drill Components - 2</v>
      </c>
      <c r="C27" s="855" t="str">
        <v>-</v>
      </c>
      <c r="D27" s="850" t="str">
        <v>At South Pole</v>
      </c>
      <c r="E27" s="850" t="str">
        <v>at South Pole</v>
      </c>
      <c r="F27" s="850" t="str">
        <v>-</v>
      </c>
    </row>
    <row r="28" spans="2:6" ht="17" x14ac:dyDescent="0.2">
      <c r="B28" s="843" t="str">
        <v>ARA Drill System Components - Crate #1</v>
      </c>
      <c r="C28" s="854" t="str">
        <v>DNF</v>
      </c>
      <c r="D28" s="851">
        <v>30</v>
      </c>
      <c r="E28" s="851">
        <v>16</v>
      </c>
      <c r="F28" s="851">
        <v>412</v>
      </c>
    </row>
    <row r="29" spans="2:6" ht="17" x14ac:dyDescent="0.2">
      <c r="B29" s="843" t="str">
        <v>Computing/controls components Shipment #1</v>
      </c>
      <c r="C29" s="854" t="str">
        <v>DNF</v>
      </c>
      <c r="D29" s="851">
        <v>14</v>
      </c>
      <c r="E29" s="851">
        <v>0</v>
      </c>
      <c r="F29" s="851">
        <v>396</v>
      </c>
    </row>
    <row r="30" spans="2:6" ht="17" x14ac:dyDescent="0.2">
      <c r="B30" s="843" t="str">
        <v>Computing/controls components Shipment #2</v>
      </c>
      <c r="C30" s="854" t="str">
        <v>DNF</v>
      </c>
      <c r="D30" s="851">
        <v>31</v>
      </c>
      <c r="E30" s="851">
        <v>0</v>
      </c>
      <c r="F30" s="851">
        <v>106</v>
      </c>
    </row>
    <row r="31" spans="2:6" ht="17" x14ac:dyDescent="0.2">
      <c r="B31" s="843" t="str">
        <v>Computing/controls components Shipment #3</v>
      </c>
      <c r="C31" s="854" t="str">
        <v>DNF</v>
      </c>
      <c r="D31" s="851">
        <v>31</v>
      </c>
      <c r="E31" s="851">
        <v>0</v>
      </c>
      <c r="F31" s="851">
        <v>106</v>
      </c>
    </row>
    <row r="32" spans="2:6" ht="68" x14ac:dyDescent="0.2">
      <c r="B32" s="844" t="str">
        <v>20' Refit Container C: Bull Wheel, Spare Combo &amp; Drill Cables, Hose Heating System Components, ARA Drill System Components Crate #2</v>
      </c>
      <c r="C32" s="855" t="str">
        <v>-</v>
      </c>
      <c r="D32" s="850">
        <v>31</v>
      </c>
      <c r="E32" s="850">
        <v>418</v>
      </c>
      <c r="F32" s="850">
        <v>830</v>
      </c>
    </row>
    <row r="33" spans="2:6" ht="34" x14ac:dyDescent="0.2">
      <c r="B33" s="843" t="str">
        <v>Driller resupply/refit components -  8'  Container FS2</v>
      </c>
      <c r="C33" s="854" t="str">
        <v>-</v>
      </c>
      <c r="D33" s="851">
        <v>31</v>
      </c>
      <c r="E33" s="851">
        <v>0</v>
      </c>
      <c r="F33" s="851">
        <v>106</v>
      </c>
    </row>
    <row r="34" spans="2:6" ht="17" x14ac:dyDescent="0.2">
      <c r="B34" s="843" t="str">
        <v>Drill refit components FS2</v>
      </c>
      <c r="C34" s="854" t="str">
        <v>DNF</v>
      </c>
      <c r="D34" s="851">
        <v>31</v>
      </c>
      <c r="E34" s="851">
        <v>0</v>
      </c>
      <c r="F34" s="851">
        <v>106</v>
      </c>
    </row>
    <row r="35" spans="2:6" ht="34" x14ac:dyDescent="0.2">
      <c r="B35" s="843" t="str">
        <v>Driller resupply/refit components -  8'  Container FS3</v>
      </c>
      <c r="C35" s="854" t="str">
        <v>-</v>
      </c>
      <c r="D35" s="851">
        <v>31</v>
      </c>
      <c r="E35" s="851">
        <v>0</v>
      </c>
      <c r="F35" s="851">
        <v>106</v>
      </c>
    </row>
    <row r="36" spans="2:6" ht="17" x14ac:dyDescent="0.2">
      <c r="B36" s="843" t="str">
        <v>Drill refit components FS3</v>
      </c>
      <c r="C36" s="854" t="str">
        <v>DNF</v>
      </c>
      <c r="D36" s="851">
        <v>31</v>
      </c>
      <c r="E36" s="851">
        <v>0</v>
      </c>
      <c r="F36" s="851">
        <v>106</v>
      </c>
    </row>
    <row r="37" spans="2:6" ht="17" x14ac:dyDescent="0.2">
      <c r="B37" s="844" t="str">
        <v>Drill Heads - X</v>
      </c>
      <c r="C37" s="855" t="str">
        <v>DNF</v>
      </c>
      <c r="D37" s="850">
        <v>409</v>
      </c>
      <c r="E37" s="850">
        <v>648</v>
      </c>
      <c r="F37" s="850">
        <v>1127</v>
      </c>
    </row>
    <row r="38" spans="2:6" ht="17" x14ac:dyDescent="0.2">
      <c r="B38" s="843" t="str">
        <v>Drill Heads - Y</v>
      </c>
      <c r="C38" s="854" t="str">
        <v>DNF</v>
      </c>
      <c r="D38" s="851">
        <v>409</v>
      </c>
      <c r="E38" s="851">
        <v>648</v>
      </c>
      <c r="F38" s="851">
        <v>1127</v>
      </c>
    </row>
    <row r="39" spans="2:6" ht="17" x14ac:dyDescent="0.2">
      <c r="B39" s="843" t="str">
        <v>Drill Heads - R</v>
      </c>
      <c r="C39" s="854" t="str">
        <v>DNF</v>
      </c>
      <c r="D39" s="851">
        <v>409</v>
      </c>
      <c r="E39" s="851">
        <v>648</v>
      </c>
      <c r="F39" s="851">
        <v>1127</v>
      </c>
    </row>
    <row r="40" spans="2:6" ht="34" x14ac:dyDescent="0.2">
      <c r="B40" s="843" t="str">
        <v>Load member cable reel [placeholder, may not be required]</v>
      </c>
      <c r="C40" s="854" t="str">
        <v>-</v>
      </c>
      <c r="D40" s="851">
        <v>136</v>
      </c>
      <c r="E40" s="851">
        <v>151</v>
      </c>
      <c r="F40" s="851">
        <v>595</v>
      </c>
    </row>
    <row r="41" spans="2:6" ht="17" x14ac:dyDescent="0.2">
      <c r="B41" s="843" t="str">
        <v>Accelerometer Loggers  SPoT 1</v>
      </c>
      <c r="C41" s="854" t="str">
        <v>-</v>
      </c>
      <c r="D41" s="851">
        <v>62</v>
      </c>
      <c r="E41" s="851">
        <v>0</v>
      </c>
      <c r="F41" s="851">
        <v>91</v>
      </c>
    </row>
    <row r="42" spans="2:6" ht="17" x14ac:dyDescent="0.2">
      <c r="B42" s="844" t="str">
        <v>Accelerometer Loggers  SPoT 2</v>
      </c>
      <c r="C42" s="855" t="str">
        <v>-</v>
      </c>
      <c r="D42" s="850">
        <v>62</v>
      </c>
      <c r="E42" s="850">
        <v>0</v>
      </c>
      <c r="F42" s="850">
        <v>122</v>
      </c>
    </row>
    <row r="43" spans="2:6" ht="17" x14ac:dyDescent="0.2">
      <c r="B43" s="843" t="str">
        <v>ICL power and timing electronics</v>
      </c>
      <c r="C43" s="854" t="str">
        <v>DNF</v>
      </c>
      <c r="D43" s="851">
        <v>462</v>
      </c>
      <c r="E43" s="851">
        <v>1</v>
      </c>
      <c r="F43" s="851">
        <v>122</v>
      </c>
    </row>
    <row r="44" spans="2:6" ht="17" x14ac:dyDescent="0.2">
      <c r="B44" s="843" t="str">
        <v>ICL patch cables and patch panels</v>
      </c>
      <c r="C44" s="854" t="str">
        <v>DNDF [TBD]</v>
      </c>
      <c r="D44" s="851">
        <v>624</v>
      </c>
      <c r="E44" s="851">
        <v>1</v>
      </c>
      <c r="F44" s="851">
        <v>122</v>
      </c>
    </row>
    <row r="45" spans="2:6" ht="17" x14ac:dyDescent="0.2">
      <c r="B45" s="843" t="str">
        <v>DOM Handling Facility (DHF)</v>
      </c>
      <c r="C45" s="854" t="str">
        <v>-</v>
      </c>
      <c r="D45" s="851">
        <v>50</v>
      </c>
      <c r="E45" s="851">
        <v>368</v>
      </c>
      <c r="F45" s="851">
        <v>780</v>
      </c>
    </row>
    <row r="46" spans="2:6" ht="17" x14ac:dyDescent="0.2">
      <c r="B46" s="843" t="str">
        <v xml:space="preserve">Installation Hardware  87-93 </v>
      </c>
      <c r="C46" s="854" t="str">
        <v>-</v>
      </c>
      <c r="D46" s="851">
        <v>97</v>
      </c>
      <c r="E46" s="851">
        <v>321</v>
      </c>
      <c r="F46" s="851">
        <v>765</v>
      </c>
    </row>
    <row r="47" spans="2:6" ht="17" x14ac:dyDescent="0.2">
      <c r="B47" s="844" t="str">
        <v xml:space="preserve">Installation Weights  87-93 </v>
      </c>
      <c r="C47" s="855" t="str">
        <v>-</v>
      </c>
      <c r="D47" s="850">
        <v>110</v>
      </c>
      <c r="E47" s="850">
        <v>321</v>
      </c>
      <c r="F47" s="850">
        <v>765</v>
      </c>
    </row>
    <row r="48" spans="2:6" ht="17" x14ac:dyDescent="0.2">
      <c r="B48" s="843" t="str">
        <v>Misc. Science Equipment - FS2 (FY25)</v>
      </c>
      <c r="C48" s="854" t="str">
        <v>DNF</v>
      </c>
      <c r="D48" s="851">
        <v>50</v>
      </c>
      <c r="E48" s="851">
        <v>1</v>
      </c>
      <c r="F48" s="851">
        <v>122</v>
      </c>
    </row>
    <row r="49" spans="2:6" ht="17" x14ac:dyDescent="0.2">
      <c r="B49" s="843" t="str">
        <v>Misc. Science Equipment - FS3 (FY26)</v>
      </c>
      <c r="C49" s="854" t="str">
        <v>DNF</v>
      </c>
      <c r="D49" s="851">
        <v>25</v>
      </c>
      <c r="E49" s="851">
        <v>16</v>
      </c>
      <c r="F49" s="851">
        <v>122</v>
      </c>
    </row>
    <row r="50" spans="2:6" ht="17" x14ac:dyDescent="0.2">
      <c r="B50" s="843" t="str">
        <v>Calibration/Special Devices 87-88</v>
      </c>
      <c r="C50" s="854" t="str">
        <v>DNDF [-40C]</v>
      </c>
      <c r="D50" s="851">
        <v>2</v>
      </c>
      <c r="E50" s="851">
        <v>13</v>
      </c>
      <c r="F50" s="851">
        <v>149</v>
      </c>
    </row>
    <row r="51" spans="2:6" ht="17" x14ac:dyDescent="0.2">
      <c r="B51" s="843" t="str">
        <v>Special Devices 87-88</v>
      </c>
      <c r="C51" s="854" t="str">
        <v>DNDF [-40C]</v>
      </c>
      <c r="D51" s="851">
        <v>2</v>
      </c>
      <c r="E51" s="851">
        <v>13</v>
      </c>
      <c r="F51" s="851">
        <v>149</v>
      </c>
    </row>
    <row r="52" spans="2:6" ht="17" x14ac:dyDescent="0.2">
      <c r="B52" s="844" t="str">
        <v>Special Devices 89-93</v>
      </c>
      <c r="C52" s="855" t="str">
        <v>DNDF [-40C]</v>
      </c>
      <c r="D52" s="850">
        <v>61</v>
      </c>
      <c r="E52" s="850">
        <v>15</v>
      </c>
      <c r="F52" s="850">
        <v>131</v>
      </c>
    </row>
    <row r="53" spans="2:6" ht="17" x14ac:dyDescent="0.2">
      <c r="B53" s="843" t="str">
        <v>Calibration/Special Devices  89-93</v>
      </c>
      <c r="C53" s="854" t="str">
        <v>DNDF [-40C]</v>
      </c>
      <c r="D53" s="851">
        <v>61</v>
      </c>
      <c r="E53" s="851">
        <v>15</v>
      </c>
      <c r="F53" s="851">
        <v>131</v>
      </c>
    </row>
    <row r="54" spans="2:6" ht="17" x14ac:dyDescent="0.2">
      <c r="B54" s="843" t="str">
        <v>Dust logging device</v>
      </c>
      <c r="C54" s="854" t="str">
        <v>DNF</v>
      </c>
      <c r="D54" s="851">
        <v>61</v>
      </c>
      <c r="E54" s="851">
        <v>15</v>
      </c>
      <c r="F54" s="851">
        <v>131</v>
      </c>
    </row>
    <row r="55" spans="2:6" ht="17" x14ac:dyDescent="0.2">
      <c r="B55" s="843" t="str">
        <v>Dust logging device</v>
      </c>
      <c r="C55" s="854" t="str">
        <v>DNF</v>
      </c>
      <c r="D55" s="851">
        <v>61</v>
      </c>
      <c r="E55" s="851">
        <v>15</v>
      </c>
      <c r="F55" s="851">
        <v>131</v>
      </c>
    </row>
    <row r="56" spans="2:6" ht="17" x14ac:dyDescent="0.2">
      <c r="B56" s="843" t="str">
        <v>Dust logging device</v>
      </c>
      <c r="C56" s="854" t="str">
        <v>DNF</v>
      </c>
      <c r="D56" s="851">
        <v>61</v>
      </c>
      <c r="E56" s="851">
        <v>15</v>
      </c>
      <c r="F56" s="851">
        <v>131</v>
      </c>
    </row>
    <row r="57" spans="2:6" ht="17" x14ac:dyDescent="0.2">
      <c r="B57" s="844" t="str">
        <v>Dust logging device</v>
      </c>
      <c r="C57" s="855" t="str">
        <v>DNF</v>
      </c>
      <c r="D57" s="850">
        <v>61</v>
      </c>
      <c r="E57" s="850">
        <v>15</v>
      </c>
      <c r="F57" s="850">
        <v>131</v>
      </c>
    </row>
    <row r="58" spans="2:6" ht="17" x14ac:dyDescent="0.2">
      <c r="B58" s="843" t="str">
        <v>Logging winch</v>
      </c>
      <c r="C58" s="854">
        <v>0</v>
      </c>
      <c r="D58" s="851">
        <v>61</v>
      </c>
      <c r="E58" s="851">
        <v>15</v>
      </c>
      <c r="F58" s="851">
        <v>131</v>
      </c>
    </row>
    <row r="59" spans="2:6" ht="17" x14ac:dyDescent="0.2">
      <c r="B59" s="843" t="str">
        <v>Logging winch control box</v>
      </c>
      <c r="C59" s="854" t="str">
        <v>DNF</v>
      </c>
      <c r="D59" s="851">
        <v>61</v>
      </c>
      <c r="E59" s="851">
        <v>15</v>
      </c>
      <c r="F59" s="851">
        <v>131</v>
      </c>
    </row>
    <row r="60" spans="2:6" ht="17" x14ac:dyDescent="0.2">
      <c r="B60" s="843" t="str">
        <v>Surface Junction Boxes</v>
      </c>
      <c r="C60" s="854" t="str">
        <v>-</v>
      </c>
      <c r="D60" s="851">
        <v>2</v>
      </c>
      <c r="E60" s="851">
        <v>380</v>
      </c>
      <c r="F60" s="851">
        <v>792</v>
      </c>
    </row>
    <row r="61" spans="2:6" ht="17" x14ac:dyDescent="0.2">
      <c r="B61" s="843" t="str">
        <v>Surface Cable Assemblies</v>
      </c>
      <c r="C61" s="854" t="str">
        <v>DNDF [-55C]</v>
      </c>
      <c r="D61" s="851">
        <v>106</v>
      </c>
      <c r="E61" s="851">
        <v>14</v>
      </c>
      <c r="F61" s="851">
        <v>792</v>
      </c>
    </row>
    <row r="62" spans="2:6" ht="17" x14ac:dyDescent="0.2">
      <c r="B62" s="844" t="str">
        <v>Breakout cables for strings 87-88</v>
      </c>
      <c r="C62" s="855" t="str">
        <v>DNDF[-40C](*)</v>
      </c>
      <c r="D62" s="850">
        <v>477</v>
      </c>
      <c r="E62" s="850">
        <v>298</v>
      </c>
      <c r="F62" s="850">
        <v>421</v>
      </c>
    </row>
    <row r="63" spans="2:6" ht="17" x14ac:dyDescent="0.2">
      <c r="B63" s="843" t="str">
        <v>Breakout cables for strings 89-93</v>
      </c>
      <c r="C63" s="854" t="str">
        <v>DNDF[-40C](*)</v>
      </c>
      <c r="D63" s="851">
        <v>379</v>
      </c>
      <c r="E63" s="851">
        <v>15</v>
      </c>
      <c r="F63" s="851">
        <v>421</v>
      </c>
    </row>
    <row r="64" spans="2:6" ht="34" x14ac:dyDescent="0.2">
      <c r="B64" s="843" t="str">
        <v>Main (downhole) load members 87-93 [placeholder, may not be required]</v>
      </c>
      <c r="C64" s="854" t="str">
        <v>DNDF[-40C](*)</v>
      </c>
      <c r="D64" s="851">
        <v>563</v>
      </c>
      <c r="E64" s="851">
        <v>1</v>
      </c>
      <c r="F64" s="851">
        <v>413</v>
      </c>
    </row>
    <row r="65" spans="2:6" ht="17" x14ac:dyDescent="0.2">
      <c r="B65" s="843" t="str">
        <v>Main (downhole) cables 87-93</v>
      </c>
      <c r="C65" s="854" t="str">
        <v>DNDF[-40C](*)</v>
      </c>
      <c r="D65" s="851">
        <v>31</v>
      </c>
      <c r="E65" s="851">
        <v>1</v>
      </c>
      <c r="F65" s="851">
        <v>779</v>
      </c>
    </row>
    <row r="66" spans="2:6" ht="17" x14ac:dyDescent="0.2">
      <c r="B66" s="843" t="str">
        <v>String Sensors 89-93 (mDOMs MSU)</v>
      </c>
      <c r="C66" s="854" t="str">
        <v>DNDF [-40C]</v>
      </c>
      <c r="D66" s="851">
        <v>686</v>
      </c>
      <c r="E66" s="851">
        <v>15</v>
      </c>
      <c r="F66" s="851">
        <v>131</v>
      </c>
    </row>
    <row r="67" spans="2:6" ht="17" x14ac:dyDescent="0.2">
      <c r="B67" s="844" t="str">
        <v>String Sensors 89-93 (mDOMs MSU)</v>
      </c>
      <c r="C67" s="855" t="str">
        <v>DNDF [-40C]</v>
      </c>
      <c r="D67" s="850">
        <v>686</v>
      </c>
      <c r="E67" s="850">
        <v>15</v>
      </c>
      <c r="F67" s="850">
        <v>131</v>
      </c>
    </row>
    <row r="68" spans="2:6" ht="17" x14ac:dyDescent="0.2">
      <c r="B68" s="843" t="str">
        <v>DM-Ice</v>
      </c>
      <c r="C68" s="854" t="str">
        <v>DNDF [-40C]</v>
      </c>
      <c r="D68" s="851">
        <v>426</v>
      </c>
      <c r="E68" s="851">
        <v>20</v>
      </c>
      <c r="F68" s="851">
        <v>126</v>
      </c>
    </row>
    <row r="69" spans="2:6" ht="17" x14ac:dyDescent="0.2">
      <c r="B69" s="843" t="str">
        <v>String Sensors 87-88 (mDOMs DESY)</v>
      </c>
      <c r="C69" s="854" t="str">
        <v>DNDF [-40C]</v>
      </c>
      <c r="D69" s="851">
        <v>440</v>
      </c>
      <c r="E69" s="851">
        <v>13</v>
      </c>
      <c r="F69" s="851">
        <v>149</v>
      </c>
    </row>
    <row r="70" spans="2:6" ht="17" x14ac:dyDescent="0.2">
      <c r="B70" s="843" t="str">
        <v>String Sensors 87-88 (mDOMs DESY)</v>
      </c>
      <c r="C70" s="854" t="str">
        <v>DNDF [-40C]</v>
      </c>
      <c r="D70" s="851">
        <v>440</v>
      </c>
      <c r="E70" s="851">
        <v>13</v>
      </c>
      <c r="F70" s="851">
        <v>149</v>
      </c>
    </row>
    <row r="71" spans="2:6" ht="17" x14ac:dyDescent="0.2">
      <c r="B71" s="843" t="str">
        <v>Special Devices 87-88 (Europe)</v>
      </c>
      <c r="C71" s="854" t="str">
        <v>DNDF [-40C]</v>
      </c>
      <c r="D71" s="851">
        <v>578</v>
      </c>
      <c r="E71" s="851">
        <v>13</v>
      </c>
      <c r="F71" s="851">
        <v>149</v>
      </c>
    </row>
    <row r="72" spans="2:6" ht="17" x14ac:dyDescent="0.2">
      <c r="B72" s="844" t="str">
        <v>Calibration Devices 87-88 (Europe)</v>
      </c>
      <c r="C72" s="855" t="str">
        <v>DNDF [-40C]</v>
      </c>
      <c r="D72" s="850">
        <v>792</v>
      </c>
      <c r="E72" s="850">
        <v>13</v>
      </c>
      <c r="F72" s="850">
        <v>149</v>
      </c>
    </row>
    <row r="73" spans="2:6" ht="17" x14ac:dyDescent="0.2">
      <c r="B73" s="843" t="str">
        <v>FieldHub electronics</v>
      </c>
      <c r="C73" s="854" t="str">
        <v>DNF</v>
      </c>
      <c r="D73" s="851">
        <v>304</v>
      </c>
      <c r="E73" s="851">
        <v>1</v>
      </c>
      <c r="F73" s="851">
        <v>108</v>
      </c>
    </row>
    <row r="74" spans="2:6" ht="17" x14ac:dyDescent="0.2">
      <c r="B74" s="843" t="str">
        <v>String Sensors 89-93 (mDOMs DESY)</v>
      </c>
      <c r="C74" s="854" t="str">
        <v>DNDF [-40C]</v>
      </c>
      <c r="D74" s="851">
        <v>721</v>
      </c>
      <c r="E74" s="851">
        <v>15</v>
      </c>
      <c r="F74" s="851">
        <v>131</v>
      </c>
    </row>
    <row r="75" spans="2:6" ht="17" x14ac:dyDescent="0.2">
      <c r="B75" s="843" t="str">
        <v>Special Devices 89-93 (Europe)</v>
      </c>
      <c r="C75" s="854" t="str">
        <v>DNDF [-40C]</v>
      </c>
      <c r="D75" s="851">
        <v>578</v>
      </c>
      <c r="E75" s="851">
        <v>15</v>
      </c>
      <c r="F75" s="851">
        <v>131</v>
      </c>
    </row>
    <row r="76" spans="2:6" ht="17" x14ac:dyDescent="0.2">
      <c r="B76" s="843" t="str">
        <v>Calibration Devices 89-93 (Europe)</v>
      </c>
      <c r="C76" s="854" t="str">
        <v>DNDF [-40C]</v>
      </c>
      <c r="D76" s="851">
        <v>1157</v>
      </c>
      <c r="E76" s="851">
        <v>15</v>
      </c>
      <c r="F76" s="851">
        <v>131</v>
      </c>
    </row>
    <row r="77" spans="2:6" ht="17" x14ac:dyDescent="0.2">
      <c r="B77" s="844" t="str">
        <v>String Sensors 87 &amp; 88 (D-Eggs-8x)</v>
      </c>
      <c r="C77" s="855" t="str">
        <v>DNDF [-40C]</v>
      </c>
      <c r="D77" s="850">
        <v>736</v>
      </c>
      <c r="E77" s="850">
        <v>13</v>
      </c>
      <c r="F77" s="850">
        <v>149</v>
      </c>
    </row>
    <row r="78" spans="2:6" ht="17" x14ac:dyDescent="0.2">
      <c r="B78" s="843" t="str">
        <v>String Sensors 87 &amp; 88 (D-Eggs-8x)</v>
      </c>
      <c r="C78" s="854" t="str">
        <v>DNDF [-40C]</v>
      </c>
      <c r="D78" s="851">
        <v>736</v>
      </c>
      <c r="E78" s="851">
        <v>13</v>
      </c>
      <c r="F78" s="851">
        <v>149</v>
      </c>
    </row>
    <row r="79" spans="2:6" ht="17" x14ac:dyDescent="0.2">
      <c r="B79" s="843" t="str">
        <v>String Sensors 87 &amp; 88 (D-Eggs-12x)</v>
      </c>
      <c r="C79" s="854" t="str">
        <v>DNDF [-40C]</v>
      </c>
      <c r="D79" s="851">
        <v>736</v>
      </c>
      <c r="E79" s="851">
        <v>13</v>
      </c>
      <c r="F79" s="851">
        <v>149</v>
      </c>
    </row>
    <row r="80" spans="2:6" ht="17" x14ac:dyDescent="0.2">
      <c r="B80" s="843" t="str">
        <v>String Sensors 87 &amp; 88 (D-Eggs-12x)</v>
      </c>
      <c r="C80" s="854" t="str">
        <v>DNDF [-40C]</v>
      </c>
      <c r="D80" s="851">
        <v>736</v>
      </c>
      <c r="E80" s="851">
        <v>13</v>
      </c>
      <c r="F80" s="851">
        <v>149</v>
      </c>
    </row>
    <row r="81" spans="2:6" ht="17" x14ac:dyDescent="0.2">
      <c r="B81" s="843" t="str">
        <v>String Sensors 89-93 (D-Eggs-8x)</v>
      </c>
      <c r="C81" s="854" t="str">
        <v>DNDF [-40C]</v>
      </c>
      <c r="D81" s="851">
        <v>812</v>
      </c>
      <c r="E81" s="851">
        <v>15</v>
      </c>
      <c r="F81" s="851">
        <v>131</v>
      </c>
    </row>
    <row r="82" spans="2:6" ht="17" x14ac:dyDescent="0.2">
      <c r="B82" s="844" t="str">
        <v>String Sensors 89-93 (D-Eggs-12x)</v>
      </c>
      <c r="C82" s="855" t="str">
        <v>DNDF [-40C]</v>
      </c>
      <c r="D82" s="850">
        <v>812</v>
      </c>
      <c r="E82" s="850">
        <v>15</v>
      </c>
      <c r="F82" s="850">
        <v>131</v>
      </c>
    </row>
    <row r="83" spans="2:6" x14ac:dyDescent="0.2">
      <c r="B83" s="842"/>
      <c r="C83" s="856"/>
      <c r="D83" s="845"/>
      <c r="E83" s="845"/>
      <c r="F83" s="845"/>
    </row>
    <row r="84" spans="2:6" x14ac:dyDescent="0.2">
      <c r="B84" s="712"/>
      <c r="C84" s="857"/>
      <c r="D84" s="711"/>
      <c r="E84" s="711"/>
      <c r="F84" s="711"/>
    </row>
    <row r="85" spans="2:6" x14ac:dyDescent="0.2">
      <c r="B85" s="712"/>
      <c r="C85" s="857"/>
      <c r="D85" s="711"/>
      <c r="E85" s="711"/>
      <c r="F85" s="711"/>
    </row>
    <row r="86" spans="2:6" x14ac:dyDescent="0.2">
      <c r="B86" s="712"/>
      <c r="C86" s="857"/>
      <c r="D86" s="711"/>
      <c r="E86" s="711"/>
      <c r="F86" s="711"/>
    </row>
    <row r="87" spans="2:6" x14ac:dyDescent="0.2">
      <c r="B87" s="747"/>
      <c r="C87" s="858"/>
    </row>
    <row r="88" spans="2:6" x14ac:dyDescent="0.2">
      <c r="B88" s="712"/>
      <c r="C88" s="857"/>
      <c r="D88" s="711"/>
      <c r="E88" s="711"/>
      <c r="F88" s="711"/>
    </row>
    <row r="89" spans="2:6" x14ac:dyDescent="0.2">
      <c r="B89" s="712"/>
      <c r="C89" s="857"/>
      <c r="D89" s="711"/>
      <c r="E89" s="711"/>
      <c r="F89" s="711"/>
    </row>
    <row r="90" spans="2:6" x14ac:dyDescent="0.2">
      <c r="B90" s="712"/>
      <c r="C90" s="857"/>
      <c r="D90" s="711"/>
      <c r="E90" s="711"/>
      <c r="F90" s="711"/>
    </row>
    <row r="91" spans="2:6" x14ac:dyDescent="0.2">
      <c r="B91" s="712"/>
      <c r="C91" s="857"/>
      <c r="D91" s="711"/>
      <c r="E91" s="711"/>
      <c r="F91" s="711"/>
    </row>
    <row r="92" spans="2:6" x14ac:dyDescent="0.2">
      <c r="B92" s="747"/>
      <c r="C92" s="858"/>
    </row>
    <row r="93" spans="2:6" x14ac:dyDescent="0.2">
      <c r="B93" s="712"/>
      <c r="C93" s="857"/>
      <c r="D93" s="711"/>
      <c r="E93" s="711"/>
      <c r="F93" s="711"/>
    </row>
    <row r="94" spans="2:6" x14ac:dyDescent="0.2">
      <c r="B94" s="712"/>
      <c r="C94" s="857"/>
      <c r="D94" s="711"/>
      <c r="E94" s="711"/>
      <c r="F94" s="711"/>
    </row>
    <row r="95" spans="2:6" x14ac:dyDescent="0.2">
      <c r="B95" s="712"/>
      <c r="C95" s="857"/>
      <c r="D95" s="711"/>
      <c r="E95" s="711"/>
      <c r="F95" s="711"/>
    </row>
    <row r="96" spans="2:6" x14ac:dyDescent="0.2">
      <c r="B96" s="712"/>
      <c r="C96" s="857"/>
      <c r="D96" s="711"/>
      <c r="E96" s="711"/>
      <c r="F96" s="711"/>
    </row>
    <row r="97" spans="2:6" x14ac:dyDescent="0.2">
      <c r="B97" s="747"/>
      <c r="C97" s="858"/>
    </row>
    <row r="98" spans="2:6" x14ac:dyDescent="0.2">
      <c r="B98" s="712"/>
      <c r="C98" s="857"/>
      <c r="D98" s="711"/>
      <c r="E98" s="711"/>
      <c r="F98" s="711"/>
    </row>
    <row r="99" spans="2:6" x14ac:dyDescent="0.2">
      <c r="B99" s="712"/>
      <c r="C99" s="857"/>
      <c r="D99" s="711"/>
      <c r="E99" s="711"/>
      <c r="F99" s="711"/>
    </row>
    <row r="100" spans="2:6" x14ac:dyDescent="0.2">
      <c r="B100" s="712"/>
      <c r="C100" s="857"/>
      <c r="D100" s="711"/>
      <c r="E100" s="711"/>
      <c r="F100" s="711"/>
    </row>
    <row r="101" spans="2:6" x14ac:dyDescent="0.2">
      <c r="B101" s="712"/>
      <c r="C101" s="857"/>
      <c r="D101" s="711"/>
      <c r="E101" s="711"/>
      <c r="F101" s="711"/>
    </row>
    <row r="102" spans="2:6" x14ac:dyDescent="0.2">
      <c r="B102" s="747"/>
      <c r="C102" s="858"/>
    </row>
    <row r="103" spans="2:6" x14ac:dyDescent="0.2">
      <c r="B103" s="712"/>
      <c r="C103" s="857"/>
      <c r="D103" s="711"/>
      <c r="E103" s="711"/>
      <c r="F103" s="711"/>
    </row>
    <row r="104" spans="2:6" x14ac:dyDescent="0.2">
      <c r="B104" s="712"/>
      <c r="C104" s="857"/>
      <c r="D104" s="711"/>
      <c r="E104" s="711"/>
      <c r="F104" s="711"/>
    </row>
    <row r="105" spans="2:6" x14ac:dyDescent="0.2">
      <c r="B105" s="712"/>
      <c r="C105" s="857"/>
      <c r="D105" s="711"/>
      <c r="E105" s="711"/>
      <c r="F105" s="711"/>
    </row>
    <row r="106" spans="2:6" x14ac:dyDescent="0.2">
      <c r="B106" s="712"/>
      <c r="C106" s="857"/>
      <c r="D106" s="711"/>
      <c r="E106" s="711"/>
      <c r="F106" s="711"/>
    </row>
    <row r="107" spans="2:6" x14ac:dyDescent="0.2">
      <c r="B107" s="747"/>
      <c r="C107" s="858"/>
    </row>
    <row r="108" spans="2:6" x14ac:dyDescent="0.2">
      <c r="B108" s="712"/>
      <c r="C108" s="857"/>
      <c r="D108" s="711"/>
      <c r="E108" s="711"/>
      <c r="F108" s="711"/>
    </row>
    <row r="109" spans="2:6" x14ac:dyDescent="0.2">
      <c r="B109" s="713"/>
      <c r="C109" s="859"/>
      <c r="D109" s="711"/>
      <c r="E109" s="711"/>
      <c r="F109" s="711"/>
    </row>
    <row r="110" spans="2:6" x14ac:dyDescent="0.2">
      <c r="B110" s="748"/>
      <c r="C110" s="860"/>
    </row>
    <row r="121" spans="2:3" x14ac:dyDescent="0.2">
      <c r="B121" s="748"/>
      <c r="C121" s="860"/>
    </row>
    <row r="122" spans="2:3" x14ac:dyDescent="0.2">
      <c r="B122" s="748"/>
      <c r="C122" s="860"/>
    </row>
    <row r="134" spans="2:3" x14ac:dyDescent="0.2">
      <c r="B134" s="747"/>
      <c r="C134" s="858"/>
    </row>
    <row r="135" spans="2:3" x14ac:dyDescent="0.2">
      <c r="B135" s="747"/>
      <c r="C135" s="858"/>
    </row>
    <row r="136" spans="2:3" x14ac:dyDescent="0.2">
      <c r="B136" s="747"/>
      <c r="C136" s="858"/>
    </row>
    <row r="137" spans="2:3" x14ac:dyDescent="0.2">
      <c r="B137" s="747"/>
      <c r="C137" s="858"/>
    </row>
    <row r="138" spans="2:3" x14ac:dyDescent="0.2">
      <c r="B138" s="747"/>
      <c r="C138" s="858"/>
    </row>
    <row r="140" spans="2:3" x14ac:dyDescent="0.2">
      <c r="B140" s="747"/>
      <c r="C140" s="858"/>
    </row>
    <row r="141" spans="2:3" x14ac:dyDescent="0.2">
      <c r="B141" s="747"/>
      <c r="C141" s="858"/>
    </row>
    <row r="142" spans="2:3" x14ac:dyDescent="0.2">
      <c r="B142" s="747"/>
      <c r="C142" s="858"/>
    </row>
    <row r="144" spans="2:3" x14ac:dyDescent="0.2">
      <c r="B144" s="748"/>
      <c r="C144" s="860"/>
    </row>
    <row r="145" spans="2:3" x14ac:dyDescent="0.2">
      <c r="B145" s="750"/>
      <c r="C145" s="861"/>
    </row>
    <row r="146" spans="2:3" x14ac:dyDescent="0.2">
      <c r="B146" s="750"/>
      <c r="C146" s="861"/>
    </row>
    <row r="147" spans="2:3" x14ac:dyDescent="0.2">
      <c r="B147" s="750"/>
      <c r="C147" s="861"/>
    </row>
    <row r="148" spans="2:3" x14ac:dyDescent="0.2">
      <c r="B148" s="750"/>
      <c r="C148" s="861"/>
    </row>
    <row r="149" spans="2:3" x14ac:dyDescent="0.2">
      <c r="B149" s="750"/>
      <c r="C149" s="861"/>
    </row>
    <row r="154" spans="2:3" x14ac:dyDescent="0.2">
      <c r="B154" s="748"/>
      <c r="C154" s="860"/>
    </row>
  </sheetData>
  <conditionalFormatting sqref="D2:F82">
    <cfRule type="cellIs" dxfId="79" priority="3" operator="between">
      <formula>31</formula>
      <formula>60</formula>
    </cfRule>
    <cfRule type="cellIs" dxfId="78" priority="4" operator="lessThan">
      <formula>31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71BBB-C04A-D144-88BF-4F658CAA6F4E}">
  <dimension ref="B1:W131"/>
  <sheetViews>
    <sheetView tabSelected="1" topLeftCell="B9" workbookViewId="0">
      <selection activeCell="I15" sqref="I15"/>
    </sheetView>
  </sheetViews>
  <sheetFormatPr baseColWidth="10" defaultColWidth="11.5" defaultRowHeight="15" x14ac:dyDescent="0.2"/>
  <cols>
    <col min="2" max="2" width="32.5" customWidth="1"/>
    <col min="3" max="3" width="13" customWidth="1"/>
    <col min="4" max="4" width="10.83203125" style="96"/>
    <col min="5" max="5" width="12.1640625" bestFit="1" customWidth="1"/>
    <col min="10" max="10" width="12" customWidth="1"/>
    <col min="11" max="11" width="27.33203125" customWidth="1"/>
    <col min="18" max="18" width="14.1640625" customWidth="1"/>
  </cols>
  <sheetData>
    <row r="1" spans="2:15" ht="16" thickBot="1" x14ac:dyDescent="0.25"/>
    <row r="2" spans="2:15" ht="64" x14ac:dyDescent="0.2">
      <c r="B2" s="150"/>
      <c r="C2" s="151" t="s">
        <v>412</v>
      </c>
      <c r="D2" s="152" t="s">
        <v>413</v>
      </c>
      <c r="E2" s="141" t="s">
        <v>414</v>
      </c>
      <c r="F2" s="141" t="s">
        <v>415</v>
      </c>
      <c r="G2" s="142" t="s">
        <v>416</v>
      </c>
      <c r="H2" s="103"/>
      <c r="I2" s="103"/>
      <c r="K2" s="135"/>
      <c r="L2" s="141" t="s">
        <v>413</v>
      </c>
      <c r="M2" s="141" t="s">
        <v>414</v>
      </c>
      <c r="N2" s="141" t="s">
        <v>415</v>
      </c>
      <c r="O2" s="142" t="s">
        <v>416</v>
      </c>
    </row>
    <row r="3" spans="2:15" ht="16" x14ac:dyDescent="0.2">
      <c r="B3" s="143" t="s">
        <v>417</v>
      </c>
      <c r="C3" s="50" t="s">
        <v>418</v>
      </c>
      <c r="D3" s="140">
        <f>SUM('MASTER INPUT SHEET'!J69:J74)</f>
        <v>5628</v>
      </c>
      <c r="E3" s="97">
        <f t="shared" ref="E3:E12" si="0">D3/$D$16</f>
        <v>0.13902131759009956</v>
      </c>
      <c r="F3" s="140">
        <f>SUM('MASTER INPUT SHEET'!L69:L74)</f>
        <v>128114</v>
      </c>
      <c r="G3" s="136">
        <f t="shared" ref="G3:G12" si="1">F3/$F$16</f>
        <v>0.2424399548857383</v>
      </c>
      <c r="H3" s="98"/>
      <c r="I3" s="98"/>
      <c r="K3" s="197" t="str">
        <f>B3</f>
        <v>cables (SCAs, MCAs, BCAs, SJBs)</v>
      </c>
      <c r="L3" s="51">
        <f>D3</f>
        <v>5628</v>
      </c>
      <c r="M3" s="97">
        <f t="shared" ref="M3:M9" si="2">L3/$L$12</f>
        <v>0.13902131759009956</v>
      </c>
      <c r="N3" s="51">
        <f>F3</f>
        <v>128114</v>
      </c>
      <c r="O3" s="136">
        <f t="shared" ref="O3:O9" si="3">N3/$N$12</f>
        <v>0.2424399548857383</v>
      </c>
    </row>
    <row r="4" spans="2:15" ht="16" x14ac:dyDescent="0.2">
      <c r="B4" s="143" t="s">
        <v>419</v>
      </c>
      <c r="C4" s="50" t="s">
        <v>420</v>
      </c>
      <c r="D4" s="51">
        <f>SUM('MASTER INPUT SHEET'!J92:J97)</f>
        <v>2505</v>
      </c>
      <c r="E4" s="97">
        <f t="shared" si="0"/>
        <v>6.1877825259985676E-2</v>
      </c>
      <c r="F4" s="51">
        <f>SUM('MASTER INPUT SHEET'!L92:L97)</f>
        <v>27780</v>
      </c>
      <c r="G4" s="136">
        <f t="shared" si="1"/>
        <v>5.2570226101174032E-2</v>
      </c>
      <c r="H4" s="98"/>
      <c r="I4" s="98"/>
      <c r="K4" s="197" t="s">
        <v>421</v>
      </c>
      <c r="L4" s="51">
        <f>D5+D4</f>
        <v>5261</v>
      </c>
      <c r="M4" s="97">
        <f t="shared" si="2"/>
        <v>0.12995578390929527</v>
      </c>
      <c r="N4" s="51">
        <f>F5+F4</f>
        <v>58149</v>
      </c>
      <c r="O4" s="136">
        <f t="shared" si="3"/>
        <v>0.11003981560680953</v>
      </c>
    </row>
    <row r="5" spans="2:15" ht="32" x14ac:dyDescent="0.2">
      <c r="B5" s="143" t="s">
        <v>422</v>
      </c>
      <c r="C5" s="50" t="s">
        <v>423</v>
      </c>
      <c r="D5" s="51">
        <f>SUM('MASTER INPUT SHEET'!J75:J76,'MASTER INPUT SHEET'!J82:J83,'MASTER INPUT SHEET'!J87)</f>
        <v>2756</v>
      </c>
      <c r="E5" s="97">
        <f t="shared" si="0"/>
        <v>6.8077958649309586E-2</v>
      </c>
      <c r="F5" s="51">
        <f>SUM('MASTER INPUT SHEET'!L75:L76,'MASTER INPUT SHEET'!L82:L83,'MASTER INPUT SHEET'!L87)</f>
        <v>30369</v>
      </c>
      <c r="G5" s="136">
        <f t="shared" si="1"/>
        <v>5.74695895056355E-2</v>
      </c>
      <c r="H5" s="98"/>
      <c r="K5" s="197" t="s">
        <v>424</v>
      </c>
      <c r="L5" s="51">
        <f>D6+D7+D8</f>
        <v>916</v>
      </c>
      <c r="M5" s="97">
        <f t="shared" si="2"/>
        <v>2.2626781612034682E-2</v>
      </c>
      <c r="N5" s="51">
        <f>F6+F7+F8</f>
        <v>14878</v>
      </c>
      <c r="O5" s="136">
        <f t="shared" si="3"/>
        <v>2.8154781279095292E-2</v>
      </c>
    </row>
    <row r="6" spans="2:15" ht="32" x14ac:dyDescent="0.2">
      <c r="B6" s="143" t="s">
        <v>425</v>
      </c>
      <c r="C6" s="50" t="s">
        <v>426</v>
      </c>
      <c r="D6" s="51">
        <f>SUM('MASTER INPUT SHEET'!J88:J89)+SUM('MASTER INPUT SHEET'!J84:J85)+SUM('MASTER INPUT SHEET'!J57:J60)</f>
        <v>566</v>
      </c>
      <c r="E6" s="97">
        <f t="shared" si="0"/>
        <v>1.3981177284292172E-2</v>
      </c>
      <c r="F6" s="51">
        <f>SUM('MASTER INPUT SHEET'!L88:L89)+SUM('MASTER INPUT SHEET'!L84:L85)+SUM('MASTER INPUT SHEET'!L57:L60)</f>
        <v>9178</v>
      </c>
      <c r="G6" s="136">
        <f t="shared" si="1"/>
        <v>1.7368233806932153E-2</v>
      </c>
      <c r="H6" s="98"/>
      <c r="K6" s="197" t="str">
        <f>B9</f>
        <v>DOM Handling Facility</v>
      </c>
      <c r="L6" s="51">
        <f>D9</f>
        <v>1280</v>
      </c>
      <c r="M6" s="97">
        <f t="shared" si="2"/>
        <v>3.1618210112886888E-2</v>
      </c>
      <c r="N6" s="51">
        <f>F9</f>
        <v>12000</v>
      </c>
      <c r="O6" s="136">
        <f t="shared" si="3"/>
        <v>2.2708520994027658E-2</v>
      </c>
    </row>
    <row r="7" spans="2:15" ht="16" x14ac:dyDescent="0.2">
      <c r="B7" s="143" t="s">
        <v>427</v>
      </c>
      <c r="C7" s="50" t="s">
        <v>428</v>
      </c>
      <c r="D7" s="51">
        <f>'MASTER INPUT SHEET'!J79</f>
        <v>64</v>
      </c>
      <c r="E7" s="97">
        <f t="shared" si="0"/>
        <v>1.5809105056443446E-3</v>
      </c>
      <c r="F7" s="51">
        <f>'MASTER INPUT SHEET'!L79</f>
        <v>1500</v>
      </c>
      <c r="G7" s="136">
        <f t="shared" si="1"/>
        <v>2.8385651242534573E-3</v>
      </c>
      <c r="H7" s="98"/>
      <c r="K7" s="197" t="str">
        <f>B10</f>
        <v>hardware (rigging and weights)</v>
      </c>
      <c r="L7" s="51">
        <f>D10</f>
        <v>980</v>
      </c>
      <c r="M7" s="97">
        <f t="shared" si="2"/>
        <v>2.4207692117679026E-2</v>
      </c>
      <c r="N7" s="51">
        <f>F10</f>
        <v>12502</v>
      </c>
      <c r="O7" s="136">
        <f t="shared" si="3"/>
        <v>2.3658494122277815E-2</v>
      </c>
    </row>
    <row r="8" spans="2:15" ht="17" thickBot="1" x14ac:dyDescent="0.25">
      <c r="B8" s="143" t="s">
        <v>429</v>
      </c>
      <c r="C8" s="50" t="s">
        <v>430</v>
      </c>
      <c r="D8" s="51">
        <f>SUM('MASTER INPUT SHEET'!J61:J66)</f>
        <v>286</v>
      </c>
      <c r="E8" s="97">
        <f t="shared" si="0"/>
        <v>7.0646938220981651E-3</v>
      </c>
      <c r="F8" s="51">
        <f>SUM('MASTER INPUT SHEET'!L61:L66)</f>
        <v>4200</v>
      </c>
      <c r="G8" s="136">
        <f t="shared" si="1"/>
        <v>7.9479823479096812E-3</v>
      </c>
      <c r="H8" s="98"/>
      <c r="K8" s="197" t="s">
        <v>431</v>
      </c>
      <c r="L8" s="51">
        <f>D11+D12</f>
        <v>432</v>
      </c>
      <c r="M8" s="97">
        <f t="shared" si="2"/>
        <v>1.0671145913099325E-2</v>
      </c>
      <c r="N8" s="51">
        <f>F11+F12</f>
        <v>5075</v>
      </c>
      <c r="O8" s="136">
        <f t="shared" si="3"/>
        <v>9.6038120037241978E-3</v>
      </c>
    </row>
    <row r="9" spans="2:15" ht="16" x14ac:dyDescent="0.2">
      <c r="B9" s="164" t="s">
        <v>432</v>
      </c>
      <c r="C9" s="165" t="s">
        <v>430</v>
      </c>
      <c r="D9" s="51">
        <f>'MASTER INPUT SHEET'!J52</f>
        <v>1280</v>
      </c>
      <c r="E9" s="97">
        <f t="shared" si="0"/>
        <v>3.1618210112886888E-2</v>
      </c>
      <c r="F9" s="51">
        <f>'MASTER INPUT SHEET'!L52</f>
        <v>12000</v>
      </c>
      <c r="G9" s="136">
        <f t="shared" si="1"/>
        <v>2.2708520994027658E-2</v>
      </c>
      <c r="H9" s="98"/>
      <c r="K9" s="865" t="s">
        <v>433</v>
      </c>
      <c r="L9" s="866">
        <f>SUM(L3:L8)</f>
        <v>14497</v>
      </c>
      <c r="M9" s="867">
        <f t="shared" si="2"/>
        <v>0.35810093125509473</v>
      </c>
      <c r="N9" s="868">
        <f t="shared" ref="N9" si="4">SUM(N3:N8)</f>
        <v>230718</v>
      </c>
      <c r="O9" s="869">
        <f t="shared" si="3"/>
        <v>0.43660537889167278</v>
      </c>
    </row>
    <row r="10" spans="2:15" ht="16" x14ac:dyDescent="0.2">
      <c r="B10" s="143" t="s">
        <v>434</v>
      </c>
      <c r="C10" s="50" t="s">
        <v>430</v>
      </c>
      <c r="D10" s="51">
        <f>'MASTER INPUT SHEET'!J53+'MASTER INPUT SHEET'!J54</f>
        <v>980</v>
      </c>
      <c r="E10" s="97">
        <f t="shared" si="0"/>
        <v>2.4207692117679026E-2</v>
      </c>
      <c r="F10" s="51">
        <f>'MASTER INPUT SHEET'!L53+'MASTER INPUT SHEET'!L54</f>
        <v>12502</v>
      </c>
      <c r="G10" s="136">
        <f t="shared" si="1"/>
        <v>2.3658494122277815E-2</v>
      </c>
      <c r="H10" s="98"/>
      <c r="K10" s="870" t="s">
        <v>435</v>
      </c>
      <c r="L10" s="746">
        <f>D14</f>
        <v>25984</v>
      </c>
      <c r="M10" s="161">
        <f>L10/L12</f>
        <v>0.64184966529160392</v>
      </c>
      <c r="N10" s="871">
        <f>F14</f>
        <v>297708</v>
      </c>
      <c r="O10" s="872">
        <f t="shared" ref="O10:O11" si="5">N10/$N$12</f>
        <v>0.56337569734083215</v>
      </c>
    </row>
    <row r="11" spans="2:15" ht="17" thickBot="1" x14ac:dyDescent="0.25">
      <c r="B11" s="143" t="s">
        <v>436</v>
      </c>
      <c r="C11" s="50" t="s">
        <v>430</v>
      </c>
      <c r="D11" s="51">
        <f>'MASTER INPUT SHEET'!J56+'MASTER INPUT SHEET'!J55</f>
        <v>128</v>
      </c>
      <c r="E11" s="97">
        <f t="shared" si="0"/>
        <v>3.1618210112886892E-3</v>
      </c>
      <c r="F11" s="51">
        <f>'MASTER INPUT SHEET'!L55+'MASTER INPUT SHEET'!L56</f>
        <v>3000</v>
      </c>
      <c r="G11" s="136">
        <f t="shared" si="1"/>
        <v>5.6771302485069145E-3</v>
      </c>
      <c r="H11" s="98"/>
      <c r="K11" s="873" t="str">
        <f>B15</f>
        <v>Logistics equipment total</v>
      </c>
      <c r="L11" s="874">
        <f>D15</f>
        <v>2</v>
      </c>
      <c r="M11" s="875">
        <f>L11/$L$12</f>
        <v>4.9403453301385768E-5</v>
      </c>
      <c r="N11" s="876">
        <f>F15</f>
        <v>10</v>
      </c>
      <c r="O11" s="877">
        <f t="shared" si="5"/>
        <v>1.8923767495023049E-5</v>
      </c>
    </row>
    <row r="12" spans="2:15" ht="17" thickBot="1" x14ac:dyDescent="0.25">
      <c r="B12" s="143" t="s">
        <v>437</v>
      </c>
      <c r="C12" s="50" t="s">
        <v>430</v>
      </c>
      <c r="D12" s="51">
        <f>'MASTER INPUT SHEET'!J50+'MASTER INPUT SHEET'!J51+'MASTER INPUT SHEET'!J86</f>
        <v>304</v>
      </c>
      <c r="E12" s="97">
        <f t="shared" si="0"/>
        <v>7.509324901810637E-3</v>
      </c>
      <c r="F12" s="51">
        <f>'MASTER INPUT SHEET'!L50+'MASTER INPUT SHEET'!L51+'MASTER INPUT SHEET'!L86</f>
        <v>2075</v>
      </c>
      <c r="G12" s="136">
        <f t="shared" si="1"/>
        <v>3.9266817552172824E-3</v>
      </c>
      <c r="H12" s="98"/>
      <c r="K12" s="198" t="s">
        <v>438</v>
      </c>
      <c r="L12" s="743">
        <f>SUM(L9:L11)</f>
        <v>40483</v>
      </c>
      <c r="M12" s="744">
        <f>SUM(M9:M11)</f>
        <v>1</v>
      </c>
      <c r="N12" s="743">
        <f>SUM(N9:N11)</f>
        <v>528436</v>
      </c>
      <c r="O12" s="745">
        <f>SUM(O9:O11)</f>
        <v>1</v>
      </c>
    </row>
    <row r="13" spans="2:15" ht="16" x14ac:dyDescent="0.2">
      <c r="B13" s="153" t="s">
        <v>439</v>
      </c>
      <c r="C13" s="154" t="s">
        <v>440</v>
      </c>
      <c r="D13" s="155">
        <f>SUM(D3:D12)</f>
        <v>14497</v>
      </c>
      <c r="E13" s="156">
        <f>D13/D16</f>
        <v>0.35810093125509473</v>
      </c>
      <c r="F13" s="155">
        <f>SUM(F3:F12)</f>
        <v>230718</v>
      </c>
      <c r="G13" s="157">
        <f>F13/F16</f>
        <v>0.43660537889167278</v>
      </c>
      <c r="H13" s="98"/>
      <c r="J13" s="100"/>
      <c r="K13" s="197" t="s">
        <v>441</v>
      </c>
      <c r="L13" s="51">
        <f>D17</f>
        <v>12747.94</v>
      </c>
      <c r="M13" s="8"/>
      <c r="N13" s="51">
        <f>F17</f>
        <v>648454.80000000005</v>
      </c>
      <c r="O13" s="137"/>
    </row>
    <row r="14" spans="2:15" ht="17" thickBot="1" x14ac:dyDescent="0.25">
      <c r="B14" s="158" t="s">
        <v>442</v>
      </c>
      <c r="C14" s="159" t="s">
        <v>430</v>
      </c>
      <c r="D14" s="160">
        <f>SUMIFS('MASTER INPUT SHEET'!J1:J108,'MASTER INPUT SHEET'!B1:B108, "Drill")</f>
        <v>25984</v>
      </c>
      <c r="E14" s="161">
        <f>D14/$D$16</f>
        <v>0.64184966529160392</v>
      </c>
      <c r="F14" s="160">
        <f>SUMIFS('MASTER INPUT SHEET'!L1:L108,'MASTER INPUT SHEET'!B1:B108, "Drill")</f>
        <v>297708</v>
      </c>
      <c r="G14" s="162">
        <f>F14/$F$16</f>
        <v>0.56337569734083215</v>
      </c>
      <c r="H14" s="102"/>
      <c r="J14" s="100"/>
      <c r="K14" s="199" t="s">
        <v>443</v>
      </c>
      <c r="L14" s="138">
        <f>L12+L13</f>
        <v>53230.94</v>
      </c>
      <c r="M14" s="138"/>
      <c r="N14" s="138">
        <f>N12+N13</f>
        <v>1176890.8</v>
      </c>
      <c r="O14" s="139"/>
    </row>
    <row r="15" spans="2:15" ht="16" x14ac:dyDescent="0.2">
      <c r="B15" s="158" t="s">
        <v>444</v>
      </c>
      <c r="C15" s="159" t="s">
        <v>430</v>
      </c>
      <c r="D15" s="160">
        <f>SUMIFS('MASTER INPUT SHEET'!J1:J108,'MASTER INPUT SHEET'!B1:B108, "Logistics")</f>
        <v>2</v>
      </c>
      <c r="E15" s="161">
        <f>D15/$D$16</f>
        <v>4.9403453301385768E-5</v>
      </c>
      <c r="F15" s="160">
        <f>SUMIFS('MASTER INPUT SHEET'!L1:L108,'MASTER INPUT SHEET'!B1:B108, "Logistics")</f>
        <v>10</v>
      </c>
      <c r="G15" s="162">
        <f>F15/$F$16</f>
        <v>1.8923767495023049E-5</v>
      </c>
      <c r="H15" s="98"/>
      <c r="I15" t="s">
        <v>658</v>
      </c>
      <c r="J15" s="100"/>
    </row>
    <row r="16" spans="2:15" ht="17" thickBot="1" x14ac:dyDescent="0.25">
      <c r="B16" s="166" t="s">
        <v>445</v>
      </c>
      <c r="C16" s="167"/>
      <c r="D16" s="168">
        <f>SUM(D13:D15)</f>
        <v>40483</v>
      </c>
      <c r="E16" s="169">
        <f>SUM(E13:E15)</f>
        <v>1</v>
      </c>
      <c r="F16" s="168">
        <f>SUM(F13:F15)</f>
        <v>528436</v>
      </c>
      <c r="G16" s="170">
        <f>SUM(G13:G15)</f>
        <v>1</v>
      </c>
      <c r="H16" s="102"/>
      <c r="I16" s="96">
        <f>total_weight-'MASTER INPUT SHEET'!L109</f>
        <v>0</v>
      </c>
      <c r="J16" s="8"/>
      <c r="K16" s="8"/>
      <c r="L16" s="8"/>
      <c r="M16" s="8"/>
      <c r="N16" s="8"/>
    </row>
    <row r="17" spans="2:15" ht="17" thickBot="1" x14ac:dyDescent="0.25">
      <c r="B17" s="143" t="s">
        <v>441</v>
      </c>
      <c r="C17" s="8"/>
      <c r="D17" s="51">
        <f>SUMIFS('MASTER INPUT SHEET'!J9:J109,'MASTER INPUT SHEET'!B9:B109, "Fuel")</f>
        <v>12747.94</v>
      </c>
      <c r="E17" s="97" t="s">
        <v>45</v>
      </c>
      <c r="F17" s="51">
        <f>SUMIFS('MASTER INPUT SHEET'!L9:L109,'MASTER INPUT SHEET'!B9:B109, "Fuel")</f>
        <v>648454.80000000005</v>
      </c>
      <c r="G17" s="144" t="s">
        <v>45</v>
      </c>
      <c r="I17" s="96">
        <f>total_volume-'MASTER INPUT SHEET'!J109</f>
        <v>0</v>
      </c>
      <c r="J17" s="8"/>
      <c r="K17" s="8"/>
      <c r="L17" s="8"/>
      <c r="M17" s="8"/>
      <c r="N17" s="8"/>
    </row>
    <row r="18" spans="2:15" ht="17" thickBot="1" x14ac:dyDescent="0.25">
      <c r="B18" s="145" t="s">
        <v>443</v>
      </c>
      <c r="C18" s="146"/>
      <c r="D18" s="147">
        <f>D16+D17</f>
        <v>53230.94</v>
      </c>
      <c r="E18" s="148"/>
      <c r="F18" s="147">
        <f>F16+F17</f>
        <v>1176890.8</v>
      </c>
      <c r="G18" s="149"/>
      <c r="J18" s="8"/>
      <c r="M18" s="8"/>
      <c r="N18" s="8"/>
    </row>
    <row r="19" spans="2:15" ht="16" thickBot="1" x14ac:dyDescent="0.25">
      <c r="J19" s="8"/>
      <c r="M19" s="8"/>
      <c r="N19" s="8"/>
    </row>
    <row r="20" spans="2:15" ht="64" x14ac:dyDescent="0.2">
      <c r="B20" s="227"/>
      <c r="C20" s="228" t="s">
        <v>412</v>
      </c>
      <c r="D20" s="229" t="s">
        <v>413</v>
      </c>
      <c r="E20" s="230" t="s">
        <v>414</v>
      </c>
      <c r="F20" s="230" t="s">
        <v>415</v>
      </c>
      <c r="G20" s="231" t="s">
        <v>416</v>
      </c>
      <c r="J20" s="8"/>
      <c r="M20" s="8"/>
      <c r="N20" s="8"/>
    </row>
    <row r="21" spans="2:15" ht="17" thickBot="1" x14ac:dyDescent="0.25">
      <c r="B21" s="232" t="s">
        <v>446</v>
      </c>
      <c r="C21" s="233" t="s">
        <v>447</v>
      </c>
      <c r="D21" s="234">
        <f>1/7*(D3+D4+D5+D6+D7+D10)</f>
        <v>1785.5714285714284</v>
      </c>
      <c r="E21" s="235">
        <f>1/7*(E3+E4+E5+E6+E7+E10)</f>
        <v>4.4106697343858615E-2</v>
      </c>
      <c r="F21" s="234">
        <f>1/7*(F3+F4+F5+F6+F7+F10)</f>
        <v>29920.428571428569</v>
      </c>
      <c r="G21" s="236">
        <f>1/7*(G3+G4+G5+G6+G7+G10)</f>
        <v>5.6620723363715895E-2</v>
      </c>
      <c r="J21" s="8"/>
      <c r="M21" s="8"/>
      <c r="N21" s="8"/>
    </row>
    <row r="23" spans="2:15" ht="30" customHeight="1" thickBot="1" x14ac:dyDescent="0.25"/>
    <row r="24" spans="2:15" ht="32" x14ac:dyDescent="0.2">
      <c r="B24" s="125"/>
      <c r="C24" s="122" t="s">
        <v>413</v>
      </c>
      <c r="D24" s="122" t="s">
        <v>448</v>
      </c>
      <c r="E24" s="123" t="s">
        <v>415</v>
      </c>
      <c r="F24" s="124" t="s">
        <v>416</v>
      </c>
      <c r="K24" s="184"/>
      <c r="L24" s="176" t="s">
        <v>413</v>
      </c>
      <c r="M24" s="176" t="s">
        <v>448</v>
      </c>
      <c r="N24" s="177" t="s">
        <v>415</v>
      </c>
      <c r="O24" s="178" t="s">
        <v>416</v>
      </c>
    </row>
    <row r="25" spans="2:15" x14ac:dyDescent="0.2">
      <c r="B25" s="126" t="s">
        <v>72</v>
      </c>
      <c r="C25" s="104">
        <f>SUM('MASTER INPUT SHEET'!J13,'MASTER INPUT SHEET'!J31:J32)</f>
        <v>1639</v>
      </c>
      <c r="D25" s="127">
        <f>C25/total_volume</f>
        <v>4.0486129980485633E-2</v>
      </c>
      <c r="E25" s="104">
        <f>SUM('MASTER INPUT SHEET'!L13,'MASTER INPUT SHEET'!L31:L32)</f>
        <v>13968</v>
      </c>
      <c r="F25" s="128">
        <f t="shared" ref="F25:F34" si="6">E25/$E$36</f>
        <v>2.6432718437048194E-2</v>
      </c>
      <c r="K25" s="187" t="str">
        <f t="shared" ref="K25:K27" si="7">B25</f>
        <v>Firn Drill</v>
      </c>
      <c r="L25" s="96">
        <f>C25</f>
        <v>1639</v>
      </c>
      <c r="M25" s="179">
        <f>L25/$L$34</f>
        <v>4.0486129980485633E-2</v>
      </c>
      <c r="N25" s="96">
        <f>E25</f>
        <v>13968</v>
      </c>
      <c r="O25" s="180">
        <f>N25/$N$34</f>
        <v>2.6432718437048194E-2</v>
      </c>
    </row>
    <row r="26" spans="2:15" x14ac:dyDescent="0.2">
      <c r="B26" s="126" t="s">
        <v>449</v>
      </c>
      <c r="C26" s="104">
        <f>'MASTER INPUT SHEET'!J20+'MASTER INPUT SHEET'!J35</f>
        <v>1067</v>
      </c>
      <c r="D26" s="127">
        <f t="shared" ref="D26:D34" si="8">C26/$C$36</f>
        <v>2.6356742336289308E-2</v>
      </c>
      <c r="E26" s="104">
        <f>'MASTER INPUT SHEET'!L20+'MASTER INPUT SHEET'!L35</f>
        <v>6600</v>
      </c>
      <c r="F26" s="128">
        <f t="shared" si="6"/>
        <v>1.2489686546715213E-2</v>
      </c>
      <c r="K26" s="185" t="str">
        <f t="shared" si="7"/>
        <v>Rodwell Drill and System</v>
      </c>
      <c r="L26" s="96">
        <f>C26</f>
        <v>1067</v>
      </c>
      <c r="M26" s="179">
        <f t="shared" ref="M26:M30" si="9">L26/$L$34</f>
        <v>2.6356742336289308E-2</v>
      </c>
      <c r="N26" s="96">
        <f>E26</f>
        <v>6600</v>
      </c>
      <c r="O26" s="180">
        <f t="shared" ref="O26:O30" si="10">N26/$N$34</f>
        <v>1.2489686546715213E-2</v>
      </c>
    </row>
    <row r="27" spans="2:15" x14ac:dyDescent="0.2">
      <c r="B27" s="126" t="s">
        <v>450</v>
      </c>
      <c r="C27" s="104">
        <f>SUM('MASTER INPUT SHEET'!J9:J12)+SUM('MASTER INPUT SHEET'!J15:J16)+SUM('MASTER INPUT SHEET'!J24:J25)</f>
        <v>9615</v>
      </c>
      <c r="D27" s="127">
        <f t="shared" si="8"/>
        <v>0.23750710174641207</v>
      </c>
      <c r="E27" s="104">
        <f>SUM('MASTER INPUT SHEET'!L9:L12)+SUM('MASTER INPUT SHEET'!L15:L16)+SUM('MASTER INPUT SHEET'!L24:L25)</f>
        <v>100341</v>
      </c>
      <c r="F27" s="128">
        <f t="shared" si="6"/>
        <v>0.18988297542181079</v>
      </c>
      <c r="K27" s="185" t="str">
        <f t="shared" si="7"/>
        <v>Generators, HPU, fuel tower</v>
      </c>
      <c r="L27" s="96">
        <f>C27</f>
        <v>9615</v>
      </c>
      <c r="M27" s="179">
        <f t="shared" si="9"/>
        <v>0.23750710174641207</v>
      </c>
      <c r="N27" s="96">
        <f>E27</f>
        <v>100341</v>
      </c>
      <c r="O27" s="180">
        <f t="shared" si="10"/>
        <v>0.18988297542181079</v>
      </c>
    </row>
    <row r="28" spans="2:15" x14ac:dyDescent="0.2">
      <c r="B28" s="126" t="s">
        <v>112</v>
      </c>
      <c r="C28" s="104">
        <f>SUM('MASTER INPUT SHEET'!J26:J27)</f>
        <v>4152</v>
      </c>
      <c r="D28" s="127">
        <f t="shared" si="8"/>
        <v>0.10256156905367685</v>
      </c>
      <c r="E28" s="104">
        <f>SUM('MASTER INPUT SHEET'!L26:L27)</f>
        <v>46791</v>
      </c>
      <c r="F28" s="128">
        <f t="shared" si="6"/>
        <v>8.8546200485962345E-2</v>
      </c>
      <c r="K28" s="185" t="s">
        <v>451</v>
      </c>
      <c r="L28" s="96">
        <f>C28+C30</f>
        <v>4504</v>
      </c>
      <c r="M28" s="179">
        <f t="shared" si="9"/>
        <v>0.11125657683472075</v>
      </c>
      <c r="N28" s="96">
        <f>E28+E30</f>
        <v>50571</v>
      </c>
      <c r="O28" s="180">
        <f t="shared" si="10"/>
        <v>9.5699384599081061E-2</v>
      </c>
    </row>
    <row r="29" spans="2:15" x14ac:dyDescent="0.2">
      <c r="B29" s="126" t="s">
        <v>452</v>
      </c>
      <c r="C29" s="104">
        <f>'MASTER INPUT SHEET'!J47+'MASTER INPUT SHEET'!J22+'MASTER INPUT SHEET'!J21</f>
        <v>1294</v>
      </c>
      <c r="D29" s="127">
        <f t="shared" si="8"/>
        <v>3.196403428599659E-2</v>
      </c>
      <c r="E29" s="104">
        <f>'MASTER INPUT SHEET'!L47+'MASTER INPUT SHEET'!L22+'MASTER INPUT SHEET'!L21</f>
        <v>25600</v>
      </c>
      <c r="F29" s="128">
        <f t="shared" si="6"/>
        <v>4.8444844787259009E-2</v>
      </c>
      <c r="K29" s="185" t="s">
        <v>452</v>
      </c>
      <c r="L29" s="96">
        <f>C29</f>
        <v>1294</v>
      </c>
      <c r="M29" s="179">
        <f t="shared" si="9"/>
        <v>3.196403428599659E-2</v>
      </c>
      <c r="N29" s="96">
        <f>E29</f>
        <v>25600</v>
      </c>
      <c r="O29" s="180">
        <f t="shared" si="10"/>
        <v>4.8444844787259009E-2</v>
      </c>
    </row>
    <row r="30" spans="2:15" ht="16" x14ac:dyDescent="0.2">
      <c r="B30" s="126" t="s">
        <v>453</v>
      </c>
      <c r="C30" s="104">
        <f>'MASTER INPUT SHEET'!J14+SUM('MASTER INPUT SHEET'!J44:J46)</f>
        <v>352</v>
      </c>
      <c r="D30" s="127">
        <f t="shared" si="8"/>
        <v>8.6950077810438956E-3</v>
      </c>
      <c r="E30" s="104">
        <f>'MASTER INPUT SHEET'!L14+SUM('MASTER INPUT SHEET'!L44:L46)</f>
        <v>3780</v>
      </c>
      <c r="F30" s="128">
        <f t="shared" si="6"/>
        <v>7.1531841131187122E-3</v>
      </c>
      <c r="K30" s="188" t="s">
        <v>454</v>
      </c>
      <c r="L30" s="96">
        <f>C32+C31</f>
        <v>7865</v>
      </c>
      <c r="M30" s="179">
        <f t="shared" si="9"/>
        <v>0.19427908010769954</v>
      </c>
      <c r="N30" s="96">
        <f>E32+E31</f>
        <v>100628</v>
      </c>
      <c r="O30" s="180">
        <f t="shared" si="10"/>
        <v>0.19042608754891793</v>
      </c>
    </row>
    <row r="31" spans="2:15" x14ac:dyDescent="0.2">
      <c r="B31" s="126" t="s">
        <v>455</v>
      </c>
      <c r="C31" s="104">
        <f>SUM('MASTER INPUT SHEET'!J17:J19)+'MASTER INPUT SHEET'!J23+SUM('MASTER INPUT SHEET'!J36:J38)+SUM('MASTER INPUT SHEET'!J39:J43)</f>
        <v>7377</v>
      </c>
      <c r="D31" s="127">
        <f t="shared" si="8"/>
        <v>0.18222463750216139</v>
      </c>
      <c r="E31" s="104">
        <f>SUM('MASTER INPUT SHEET'!L17:L19)+'MASTER INPUT SHEET'!L23+SUM('MASTER INPUT SHEET'!L36:L38)+SUM('MASTER INPUT SHEET'!L39:L43)</f>
        <v>90355</v>
      </c>
      <c r="F31" s="128">
        <f t="shared" si="6"/>
        <v>0.17098570120128076</v>
      </c>
      <c r="K31" s="189" t="s">
        <v>456</v>
      </c>
      <c r="L31" s="190">
        <f>SUM(L25:L30)</f>
        <v>25984</v>
      </c>
      <c r="M31" s="191">
        <f>L31/$L$34</f>
        <v>0.64184966529160392</v>
      </c>
      <c r="N31" s="190">
        <f t="shared" ref="N31" si="11">SUM(N25:N30)</f>
        <v>297708</v>
      </c>
      <c r="O31" s="192">
        <f>N31/$N$34</f>
        <v>0.56337569734083215</v>
      </c>
    </row>
    <row r="32" spans="2:15" x14ac:dyDescent="0.2">
      <c r="B32" s="174" t="s">
        <v>457</v>
      </c>
      <c r="C32" s="129">
        <f>'MASTER INPUT SHEET'!J30</f>
        <v>488</v>
      </c>
      <c r="D32" s="130">
        <f t="shared" si="8"/>
        <v>1.2054442605538127E-2</v>
      </c>
      <c r="E32" s="129">
        <f>'MASTER INPUT SHEET'!L30</f>
        <v>10273</v>
      </c>
      <c r="F32" s="131">
        <f t="shared" si="6"/>
        <v>1.944038634763718E-2</v>
      </c>
      <c r="K32" s="186" t="s">
        <v>458</v>
      </c>
      <c r="L32" s="181">
        <f>C34</f>
        <v>14497</v>
      </c>
      <c r="M32" s="182">
        <f>L32/$L$34</f>
        <v>0.35810093125509473</v>
      </c>
      <c r="N32" s="181">
        <f>E34</f>
        <v>230718</v>
      </c>
      <c r="O32" s="183">
        <f>N32/$N$34</f>
        <v>0.43660537889167278</v>
      </c>
    </row>
    <row r="33" spans="2:15" x14ac:dyDescent="0.2">
      <c r="B33" s="171" t="s">
        <v>459</v>
      </c>
      <c r="C33" s="163">
        <f>SUM(C25:C32)</f>
        <v>25984</v>
      </c>
      <c r="D33" s="172">
        <f t="shared" si="8"/>
        <v>0.64184966529160392</v>
      </c>
      <c r="E33" s="163">
        <f>SUM(E25:E32)</f>
        <v>297708</v>
      </c>
      <c r="F33" s="173">
        <f t="shared" si="6"/>
        <v>0.56337569734083215</v>
      </c>
      <c r="K33" s="186" t="s">
        <v>460</v>
      </c>
      <c r="L33" s="181">
        <f>C35</f>
        <v>2</v>
      </c>
      <c r="M33" s="182">
        <f>L33/$L$34</f>
        <v>4.9403453301385768E-5</v>
      </c>
      <c r="N33" s="181">
        <f>E35</f>
        <v>10</v>
      </c>
      <c r="O33" s="183">
        <f>N33/$N$34</f>
        <v>1.8923767495023049E-5</v>
      </c>
    </row>
    <row r="34" spans="2:15" ht="16" thickBot="1" x14ac:dyDescent="0.25">
      <c r="B34" s="171" t="s">
        <v>458</v>
      </c>
      <c r="C34" s="163">
        <f>SUMIFS(volume,work_package, "Installation")</f>
        <v>14497</v>
      </c>
      <c r="D34" s="172">
        <f t="shared" si="8"/>
        <v>0.35810093125509473</v>
      </c>
      <c r="E34" s="163">
        <f>SUMIFS(weight,work_package, "Installation")</f>
        <v>230718</v>
      </c>
      <c r="F34" s="173">
        <f t="shared" si="6"/>
        <v>0.43660537889167278</v>
      </c>
      <c r="G34" s="96"/>
      <c r="K34" s="193" t="s">
        <v>438</v>
      </c>
      <c r="L34" s="194">
        <f>SUM(L31:L33)</f>
        <v>40483</v>
      </c>
      <c r="M34" s="195">
        <f>SUM(M31:M33)</f>
        <v>1</v>
      </c>
      <c r="N34" s="194">
        <f>SUM(N31:N33)</f>
        <v>528436</v>
      </c>
      <c r="O34" s="196">
        <f>SUM(O31:O33)</f>
        <v>1</v>
      </c>
    </row>
    <row r="35" spans="2:15" x14ac:dyDescent="0.2">
      <c r="B35" s="171" t="s">
        <v>460</v>
      </c>
      <c r="C35" s="163">
        <f>SUMIFS(volume,work_package, "Logistics")</f>
        <v>2</v>
      </c>
      <c r="D35" s="172">
        <f>C35/$C$36</f>
        <v>4.9403453301385768E-5</v>
      </c>
      <c r="E35" s="163">
        <f>SUMIFS(weight,work_package,"Logistics" )</f>
        <v>10</v>
      </c>
      <c r="F35" s="173">
        <f>E35/$E$36</f>
        <v>1.8923767495023049E-5</v>
      </c>
      <c r="G35" s="96"/>
    </row>
    <row r="36" spans="2:15" ht="16" thickBot="1" x14ac:dyDescent="0.25">
      <c r="B36" s="175" t="s">
        <v>438</v>
      </c>
      <c r="C36" s="132">
        <f>SUM(C33:C35)</f>
        <v>40483</v>
      </c>
      <c r="D36" s="133">
        <f>SUM(D33:D35)</f>
        <v>1</v>
      </c>
      <c r="E36" s="132">
        <f>SUM(E33:E35)</f>
        <v>528436</v>
      </c>
      <c r="F36" s="134">
        <f>SUM(F33:F35)</f>
        <v>1</v>
      </c>
    </row>
    <row r="37" spans="2:15" x14ac:dyDescent="0.2">
      <c r="C37" s="96"/>
      <c r="E37" s="96"/>
    </row>
    <row r="38" spans="2:15" ht="16" thickBot="1" x14ac:dyDescent="0.25"/>
    <row r="39" spans="2:15" ht="32" x14ac:dyDescent="0.2">
      <c r="B39" s="205"/>
      <c r="C39" s="176" t="s">
        <v>413</v>
      </c>
      <c r="D39" s="176" t="s">
        <v>448</v>
      </c>
      <c r="E39" s="177" t="s">
        <v>415</v>
      </c>
      <c r="F39" s="178" t="s">
        <v>416</v>
      </c>
    </row>
    <row r="40" spans="2:15" x14ac:dyDescent="0.2">
      <c r="B40" s="185" t="s">
        <v>461</v>
      </c>
      <c r="C40" s="104">
        <f>L4+L5</f>
        <v>6177</v>
      </c>
      <c r="D40" s="200">
        <f>M4+M5</f>
        <v>0.15258256552132995</v>
      </c>
      <c r="E40" s="104">
        <f>N4+N5</f>
        <v>73027</v>
      </c>
      <c r="F40" s="201">
        <f>O4+O5</f>
        <v>0.13819459688590482</v>
      </c>
    </row>
    <row r="41" spans="2:15" x14ac:dyDescent="0.2">
      <c r="B41" s="185" t="s">
        <v>462</v>
      </c>
      <c r="C41" s="104">
        <f>L3+L7</f>
        <v>6608</v>
      </c>
      <c r="D41" s="200">
        <f>M3+M7</f>
        <v>0.16322900970777859</v>
      </c>
      <c r="E41" s="104">
        <f>N3+N7</f>
        <v>140616</v>
      </c>
      <c r="F41" s="201">
        <f>O3+O7</f>
        <v>0.2660984490080161</v>
      </c>
    </row>
    <row r="42" spans="2:15" x14ac:dyDescent="0.2">
      <c r="B42" s="185" t="s">
        <v>463</v>
      </c>
      <c r="C42" s="104">
        <f>L6</f>
        <v>1280</v>
      </c>
      <c r="D42" s="200">
        <f>M6</f>
        <v>3.1618210112886888E-2</v>
      </c>
      <c r="E42" s="104">
        <f>N6</f>
        <v>12000</v>
      </c>
      <c r="F42" s="201">
        <f>O6</f>
        <v>2.2708520994027658E-2</v>
      </c>
    </row>
    <row r="43" spans="2:15" x14ac:dyDescent="0.2">
      <c r="B43" s="185" t="s">
        <v>437</v>
      </c>
      <c r="C43" s="104">
        <f>L8</f>
        <v>432</v>
      </c>
      <c r="D43" s="200">
        <f>M8</f>
        <v>1.0671145913099325E-2</v>
      </c>
      <c r="E43" s="104">
        <f>N8</f>
        <v>5075</v>
      </c>
      <c r="F43" s="201">
        <f>O8</f>
        <v>9.6038120037241978E-3</v>
      </c>
    </row>
    <row r="44" spans="2:15" x14ac:dyDescent="0.2">
      <c r="B44" s="185" t="s">
        <v>464</v>
      </c>
      <c r="C44" s="104">
        <f>L25+L26</f>
        <v>2706</v>
      </c>
      <c r="D44" s="200">
        <f t="shared" ref="D44:F44" si="12">M25+M26</f>
        <v>6.6842872316774937E-2</v>
      </c>
      <c r="E44" s="104">
        <f t="shared" si="12"/>
        <v>20568</v>
      </c>
      <c r="F44" s="201">
        <f t="shared" si="12"/>
        <v>3.8922404983763405E-2</v>
      </c>
    </row>
    <row r="45" spans="2:15" x14ac:dyDescent="0.2">
      <c r="B45" s="185" t="s">
        <v>450</v>
      </c>
      <c r="C45" s="104">
        <f>L27</f>
        <v>9615</v>
      </c>
      <c r="D45" s="200">
        <f t="shared" ref="D45:F45" si="13">M27</f>
        <v>0.23750710174641207</v>
      </c>
      <c r="E45" s="104">
        <f t="shared" si="13"/>
        <v>100341</v>
      </c>
      <c r="F45" s="201">
        <f t="shared" si="13"/>
        <v>0.18988297542181079</v>
      </c>
    </row>
    <row r="46" spans="2:15" x14ac:dyDescent="0.2">
      <c r="B46" s="185" t="s">
        <v>465</v>
      </c>
      <c r="C46" s="104">
        <f>L28+L29</f>
        <v>5798</v>
      </c>
      <c r="D46" s="200">
        <f t="shared" ref="D46:F46" si="14">M28+M29</f>
        <v>0.14322061112071732</v>
      </c>
      <c r="E46" s="104">
        <f t="shared" si="14"/>
        <v>76171</v>
      </c>
      <c r="F46" s="201">
        <f t="shared" si="14"/>
        <v>0.14414422938634008</v>
      </c>
    </row>
    <row r="47" spans="2:15" x14ac:dyDescent="0.2">
      <c r="B47" s="185" t="s">
        <v>466</v>
      </c>
      <c r="C47" s="104">
        <f>L30</f>
        <v>7865</v>
      </c>
      <c r="D47" s="200">
        <f t="shared" ref="D47:F47" si="15">M30</f>
        <v>0.19427908010769954</v>
      </c>
      <c r="E47" s="104">
        <f t="shared" si="15"/>
        <v>100628</v>
      </c>
      <c r="F47" s="201">
        <f t="shared" si="15"/>
        <v>0.19042608754891793</v>
      </c>
    </row>
    <row r="48" spans="2:15" ht="16" thickBot="1" x14ac:dyDescent="0.25">
      <c r="B48" s="206" t="s">
        <v>438</v>
      </c>
      <c r="C48" s="202">
        <f>SUM(C40:C47)</f>
        <v>40481</v>
      </c>
      <c r="D48" s="203">
        <f>SUM(D40:D47)</f>
        <v>0.99995059654669871</v>
      </c>
      <c r="E48" s="202">
        <f t="shared" ref="E48" si="16">SUM(E40:E47)</f>
        <v>528426</v>
      </c>
      <c r="F48" s="204">
        <f>SUM(F40:F47)</f>
        <v>0.99998107623250498</v>
      </c>
    </row>
    <row r="70" spans="2:23" x14ac:dyDescent="0.2">
      <c r="K70" s="263"/>
      <c r="L70" s="342"/>
      <c r="M70" s="343"/>
      <c r="N70" s="342"/>
      <c r="O70" s="342"/>
      <c r="Q70" s="263"/>
      <c r="R70" s="263"/>
      <c r="S70" s="342"/>
      <c r="T70" s="343"/>
      <c r="U70" s="342"/>
      <c r="V70" s="342"/>
      <c r="W70" s="263"/>
    </row>
    <row r="71" spans="2:23" x14ac:dyDescent="0.2">
      <c r="K71" s="263"/>
      <c r="L71" s="342"/>
      <c r="M71" s="343"/>
      <c r="N71" s="342"/>
      <c r="O71" s="342"/>
      <c r="Q71" s="263"/>
      <c r="R71" s="263"/>
      <c r="S71" s="344"/>
      <c r="T71" s="268"/>
      <c r="U71" s="345"/>
      <c r="V71" s="268"/>
      <c r="W71" s="263"/>
    </row>
    <row r="72" spans="2:23" x14ac:dyDescent="0.2">
      <c r="B72" s="105" t="s">
        <v>467</v>
      </c>
      <c r="C72" s="105" t="s">
        <v>468</v>
      </c>
      <c r="D72"/>
      <c r="E72" s="110"/>
      <c r="F72" s="108" t="s">
        <v>469</v>
      </c>
      <c r="G72" s="109" t="s">
        <v>468</v>
      </c>
      <c r="L72" s="341"/>
      <c r="M72" s="341"/>
      <c r="N72" s="341"/>
      <c r="O72" s="341"/>
      <c r="Q72" s="263"/>
      <c r="R72" s="263"/>
      <c r="S72" s="342"/>
      <c r="T72" s="342"/>
      <c r="U72" s="342"/>
      <c r="V72" s="342"/>
      <c r="W72" s="263"/>
    </row>
    <row r="73" spans="2:23" ht="48" x14ac:dyDescent="0.2">
      <c r="B73" s="100" t="str" cm="1">
        <f t="array" ref="B73:B80">_xlfn.UNIQUE(_xlfn._xlws.FILTER('MASTER INPUT SHEET'!S10:S1019,'MASTER INPUT SHEET'!S10:S1019&lt;&gt;""))</f>
        <v>In McMurdo</v>
      </c>
      <c r="C73" s="104">
        <f t="shared" ref="C73:C79" si="17">SUMIFS(weight,route,B73)</f>
        <v>227787</v>
      </c>
      <c r="D73"/>
      <c r="E73" s="107" t="s">
        <v>470</v>
      </c>
      <c r="F73" s="51">
        <f>'MASTER INPUT SHEET'!J108-'MASTER INPUT SHEET'!J107-'Summary tables'!F74</f>
        <v>40205</v>
      </c>
      <c r="G73" s="51">
        <f>'MASTER INPUT SHEET'!L108-'MASTER INPUT SHEET'!L107-'Summary tables'!G74</f>
        <v>523493</v>
      </c>
    </row>
    <row r="74" spans="2:23" ht="64" x14ac:dyDescent="0.2">
      <c r="B74" s="100" t="str">
        <v>At South Pole</v>
      </c>
      <c r="C74" s="104">
        <f t="shared" si="17"/>
        <v>12241</v>
      </c>
      <c r="D74"/>
      <c r="E74" s="107" t="s">
        <v>471</v>
      </c>
      <c r="F74" s="51">
        <f>'MASTER INPUT SHEET'!J84+'MASTER INPUT SHEET'!J85+'MASTER INPUT SHEET'!J88+'MASTER INPUT SHEET'!J89+'MASTER INPUT SHEET'!J58</f>
        <v>278</v>
      </c>
      <c r="G74" s="51">
        <f>'MASTER INPUT SHEET'!L84+'MASTER INPUT SHEET'!L85+'MASTER INPUT SHEET'!L88+'MASTER INPUT SHEET'!L89+'MASTER INPUT SHEET'!L58</f>
        <v>4943</v>
      </c>
    </row>
    <row r="75" spans="2:23" x14ac:dyDescent="0.2">
      <c r="B75" s="100" t="str">
        <v>UWM - PTH</v>
      </c>
      <c r="C75" s="104">
        <f t="shared" si="17"/>
        <v>96104</v>
      </c>
      <c r="D75"/>
      <c r="F75" s="104">
        <f>SUM(F73:F74)</f>
        <v>40483</v>
      </c>
      <c r="G75" s="104">
        <f>SUM(G73:G74)</f>
        <v>528436</v>
      </c>
    </row>
    <row r="76" spans="2:23" x14ac:dyDescent="0.2">
      <c r="B76" s="100" t="str">
        <v>MSU - PTH</v>
      </c>
      <c r="C76" s="104">
        <f t="shared" si="17"/>
        <v>142439</v>
      </c>
      <c r="D76"/>
    </row>
    <row r="77" spans="2:23" x14ac:dyDescent="0.2">
      <c r="B77" s="100" t="str">
        <v>Yale - PTH</v>
      </c>
      <c r="C77" s="104">
        <f t="shared" si="17"/>
        <v>1500</v>
      </c>
      <c r="D77"/>
    </row>
    <row r="78" spans="2:23" x14ac:dyDescent="0.2">
      <c r="B78" s="100" t="str">
        <v>DESY - CHC</v>
      </c>
      <c r="C78" s="104">
        <f t="shared" si="17"/>
        <v>20585</v>
      </c>
      <c r="D78"/>
    </row>
    <row r="79" spans="2:23" x14ac:dyDescent="0.2">
      <c r="B79" s="100" t="str">
        <v>ChibaU - CHC</v>
      </c>
      <c r="C79" s="104">
        <f t="shared" si="17"/>
        <v>27780</v>
      </c>
      <c r="D79"/>
      <c r="N79" s="96"/>
    </row>
    <row r="80" spans="2:23" x14ac:dyDescent="0.2">
      <c r="B80" t="str">
        <v>-</v>
      </c>
      <c r="D80"/>
    </row>
    <row r="81" spans="2:4" x14ac:dyDescent="0.2">
      <c r="B81" s="101" t="s">
        <v>438</v>
      </c>
      <c r="C81" s="99">
        <f>SUM(C73:C79)</f>
        <v>528436</v>
      </c>
    </row>
    <row r="92" spans="2:4" x14ac:dyDescent="0.2">
      <c r="B92" s="110" t="s">
        <v>472</v>
      </c>
      <c r="C92" s="109" t="s">
        <v>469</v>
      </c>
      <c r="D92" s="109" t="s">
        <v>468</v>
      </c>
    </row>
    <row r="93" spans="2:4" x14ac:dyDescent="0.2">
      <c r="B93" s="111" t="str" cm="1">
        <f t="array" ref="B93:B96">_xlfn._xlws.SORT(_xlfn.UNIQUE(_xlfn._xlws.FILTER('MASTER INPUT SHEET'!M9:M97, 'MASTER INPUT SHEET'!M9:M97&lt;&gt;"")))</f>
        <v>actual</v>
      </c>
      <c r="C93" s="96">
        <f>SUMIFS('MASTER INPUT SHEET'!$J$9:$J$97,'MASTER INPUT SHEET'!$M$9:$M$97,B93)</f>
        <v>28432</v>
      </c>
      <c r="D93" s="96">
        <f>SUMIFS('MASTER INPUT SHEET'!$L$9:$L$97,'MASTER INPUT SHEET'!$M$9:$M$97,B93)</f>
        <v>311308</v>
      </c>
    </row>
    <row r="94" spans="2:4" x14ac:dyDescent="0.2">
      <c r="B94" s="111" t="str">
        <v>actual(**)</v>
      </c>
      <c r="C94" s="96">
        <f>SUMIFS('MASTER INPUT SHEET'!$J$9:$J$97,'MASTER INPUT SHEET'!$M$9:$M$97,B94)</f>
        <v>1924</v>
      </c>
      <c r="D94" s="96">
        <f>SUMIFS('MASTER INPUT SHEET'!$L$9:$L$97,'MASTER INPUT SHEET'!$M$9:$M$97,B94)</f>
        <v>21201</v>
      </c>
    </row>
    <row r="95" spans="2:4" x14ac:dyDescent="0.2">
      <c r="B95" s="111" t="str">
        <v>estimated</v>
      </c>
      <c r="C95" s="96">
        <f>SUMIFS('MASTER INPUT SHEET'!$J$9:$J$97,'MASTER INPUT SHEET'!$M$9:$M$97,B95)</f>
        <v>5483</v>
      </c>
      <c r="D95" s="96">
        <f>SUMIFS('MASTER INPUT SHEET'!$L$9:$L$97,'MASTER INPUT SHEET'!$M$9:$M$97,B95)</f>
        <v>74982</v>
      </c>
    </row>
    <row r="96" spans="2:4" x14ac:dyDescent="0.2">
      <c r="B96" s="112" t="str">
        <v>preliminary</v>
      </c>
      <c r="C96" s="113">
        <f>SUMIFS('MASTER INPUT SHEET'!$J$9:$J$97,'MASTER INPUT SHEET'!$M$9:$M$97,B96)</f>
        <v>4644</v>
      </c>
      <c r="D96" s="113">
        <f>SUMIFS('MASTER INPUT SHEET'!$L$9:$L$97,'MASTER INPUT SHEET'!$M$9:$M$97,B96)</f>
        <v>120945</v>
      </c>
    </row>
    <row r="97" spans="2:4" x14ac:dyDescent="0.2">
      <c r="B97" s="111"/>
      <c r="C97" s="96">
        <f>SUM(C93:C96)</f>
        <v>40483</v>
      </c>
      <c r="D97" s="96">
        <f>SUM(D93:D96)</f>
        <v>528436</v>
      </c>
    </row>
    <row r="98" spans="2:4" x14ac:dyDescent="0.2">
      <c r="C98" s="96"/>
    </row>
    <row r="99" spans="2:4" x14ac:dyDescent="0.2">
      <c r="B99" s="110" t="s">
        <v>472</v>
      </c>
      <c r="C99" s="109" t="s">
        <v>469</v>
      </c>
      <c r="D99" s="109" t="s">
        <v>468</v>
      </c>
    </row>
    <row r="100" spans="2:4" x14ac:dyDescent="0.2">
      <c r="B100" s="111" t="s">
        <v>52</v>
      </c>
      <c r="C100" s="96">
        <f>C94+C93</f>
        <v>30356</v>
      </c>
      <c r="D100" s="96">
        <f>D94+D93</f>
        <v>332509</v>
      </c>
    </row>
    <row r="101" spans="2:4" x14ac:dyDescent="0.2">
      <c r="B101" s="111" t="s">
        <v>131</v>
      </c>
      <c r="C101" s="96">
        <f>C95</f>
        <v>5483</v>
      </c>
      <c r="D101" s="96">
        <f>D95</f>
        <v>74982</v>
      </c>
    </row>
    <row r="102" spans="2:4" x14ac:dyDescent="0.2">
      <c r="B102" s="112" t="s">
        <v>202</v>
      </c>
      <c r="C102" s="113">
        <f>C96</f>
        <v>4644</v>
      </c>
      <c r="D102" s="113">
        <f>D96</f>
        <v>120945</v>
      </c>
    </row>
    <row r="103" spans="2:4" x14ac:dyDescent="0.2">
      <c r="B103" s="106" t="s">
        <v>445</v>
      </c>
      <c r="C103" s="96">
        <f>SUM(C100:C102)</f>
        <v>40483</v>
      </c>
      <c r="D103" s="96">
        <f>SUM(D100:D102)</f>
        <v>528436</v>
      </c>
    </row>
    <row r="104" spans="2:4" x14ac:dyDescent="0.2">
      <c r="D104"/>
    </row>
    <row r="105" spans="2:4" x14ac:dyDescent="0.2">
      <c r="D105"/>
    </row>
    <row r="106" spans="2:4" x14ac:dyDescent="0.2">
      <c r="B106" s="110" t="s">
        <v>473</v>
      </c>
      <c r="C106" s="109" t="s">
        <v>469</v>
      </c>
      <c r="D106" s="109" t="s">
        <v>468</v>
      </c>
    </row>
    <row r="107" spans="2:4" x14ac:dyDescent="0.2">
      <c r="B107" s="111" t="str" cm="1">
        <f t="array" ref="B107:B110">_xlfn._xlws.SORT(_xlfn.UNIQUE(_xlfn._xlws.FILTER('MASTER INPUT SHEET'!M9:M106,'MASTER INPUT SHEET'!M9:M106&lt;&gt;"")))</f>
        <v>actual</v>
      </c>
      <c r="C107" s="96">
        <f>SUMIFS('MASTER INPUT SHEET'!$J$9:$J$106,'MASTER INPUT SHEET'!$M$9:$M$106,B107,'MASTER INPUT SHEET'!$B$9:$B$106, "Installation")</f>
        <v>4274</v>
      </c>
      <c r="D107" s="96">
        <f>SUMIFS('MASTER INPUT SHEET'!$L$9:$L$97,'MASTER INPUT SHEET'!$M$9:$M$97,B107, 'MASTER INPUT SHEET'!$B$9:$B$97, "Installation")</f>
        <v>46600</v>
      </c>
    </row>
    <row r="108" spans="2:4" x14ac:dyDescent="0.2">
      <c r="B108" s="111" t="str">
        <v>actual(**)</v>
      </c>
      <c r="C108" s="96">
        <f>SUMIFS('MASTER INPUT SHEET'!$J$9:$J$106,'MASTER INPUT SHEET'!$M$9:$M$106,B108,'MASTER INPUT SHEET'!$B$9:$B$106, "Installation")</f>
        <v>1924</v>
      </c>
      <c r="D108" s="96">
        <f>SUMIFS('MASTER INPUT SHEET'!$L$9:$L$97,'MASTER INPUT SHEET'!$M$9:$M$97,B108, 'MASTER INPUT SHEET'!$B$9:$B$97, "Installation")</f>
        <v>21201</v>
      </c>
    </row>
    <row r="109" spans="2:4" x14ac:dyDescent="0.2">
      <c r="B109" s="111" t="str">
        <v>estimated</v>
      </c>
      <c r="C109" s="96">
        <f>SUMIFS('MASTER INPUT SHEET'!$J$9:$J$106,'MASTER INPUT SHEET'!$M$9:$M$106,B109,'MASTER INPUT SHEET'!$B$9:$B$106, "Installation")</f>
        <v>3655</v>
      </c>
      <c r="D109" s="96">
        <f>SUMIFS('MASTER INPUT SHEET'!$L$9:$L$97,'MASTER INPUT SHEET'!$M$9:$M$97,B109, 'MASTER INPUT SHEET'!$B$9:$B$97, "Installation")</f>
        <v>41972</v>
      </c>
    </row>
    <row r="110" spans="2:4" x14ac:dyDescent="0.2">
      <c r="B110" s="112" t="str">
        <v>preliminary</v>
      </c>
      <c r="C110" s="114">
        <f>SUMIFS('MASTER INPUT SHEET'!$J$9:$J$106,'MASTER INPUT SHEET'!$M$9:$M$106,B110,'MASTER INPUT SHEET'!$B$9:$B$106, "Installation")</f>
        <v>4644</v>
      </c>
      <c r="D110" s="113">
        <f>SUMIFS('MASTER INPUT SHEET'!$L$9:$L$97,'MASTER INPUT SHEET'!$M$9:$M$97,B110, 'MASTER INPUT SHEET'!$B$9:$B$97, "Installation")</f>
        <v>120945</v>
      </c>
    </row>
    <row r="111" spans="2:4" x14ac:dyDescent="0.2">
      <c r="B111" s="111"/>
      <c r="C111" s="96">
        <f>SUM(C107:C110)</f>
        <v>14497</v>
      </c>
      <c r="D111" s="96">
        <f>SUM(D107:D110)</f>
        <v>230718</v>
      </c>
    </row>
    <row r="112" spans="2:4" x14ac:dyDescent="0.2">
      <c r="C112" s="96"/>
    </row>
    <row r="113" spans="2:5" x14ac:dyDescent="0.2">
      <c r="B113" s="110" t="s">
        <v>473</v>
      </c>
      <c r="C113" s="109" t="s">
        <v>469</v>
      </c>
      <c r="D113" s="109" t="s">
        <v>468</v>
      </c>
    </row>
    <row r="114" spans="2:5" x14ac:dyDescent="0.2">
      <c r="B114" s="111" t="s">
        <v>52</v>
      </c>
      <c r="C114" s="96">
        <f>C108+C107</f>
        <v>6198</v>
      </c>
      <c r="D114" s="96">
        <f>D108+D107</f>
        <v>67801</v>
      </c>
    </row>
    <row r="115" spans="2:5" x14ac:dyDescent="0.2">
      <c r="B115" s="111" t="s">
        <v>131</v>
      </c>
      <c r="C115" s="96">
        <f>C109</f>
        <v>3655</v>
      </c>
      <c r="D115" s="96">
        <f>D109</f>
        <v>41972</v>
      </c>
    </row>
    <row r="116" spans="2:5" x14ac:dyDescent="0.2">
      <c r="B116" s="112" t="s">
        <v>202</v>
      </c>
      <c r="C116" s="113">
        <f>C110</f>
        <v>4644</v>
      </c>
      <c r="D116" s="113">
        <f>D110</f>
        <v>120945</v>
      </c>
    </row>
    <row r="117" spans="2:5" x14ac:dyDescent="0.2">
      <c r="B117" s="106" t="s">
        <v>445</v>
      </c>
      <c r="C117" s="96">
        <f>SUM(C114:C116)</f>
        <v>14497</v>
      </c>
      <c r="D117" s="96">
        <f>SUM(D114:D116)</f>
        <v>230718</v>
      </c>
    </row>
    <row r="118" spans="2:5" x14ac:dyDescent="0.2">
      <c r="D118"/>
    </row>
    <row r="119" spans="2:5" x14ac:dyDescent="0.2">
      <c r="D119"/>
    </row>
    <row r="120" spans="2:5" x14ac:dyDescent="0.2">
      <c r="B120" s="110" t="s">
        <v>474</v>
      </c>
      <c r="C120" s="109" t="s">
        <v>469</v>
      </c>
      <c r="D120" s="109" t="s">
        <v>468</v>
      </c>
      <c r="E120" s="96"/>
    </row>
    <row r="121" spans="2:5" x14ac:dyDescent="0.2">
      <c r="B121" s="111" t="str" cm="1">
        <f t="array" ref="B121:B124">_xlfn._xlws.SORT(_xlfn.UNIQUE(_xlfn._xlws.FILTER('MASTER INPUT SHEET'!M9:M106,'MASTER INPUT SHEET'!M9:M106&lt;&gt;"")))</f>
        <v>actual</v>
      </c>
      <c r="C121" s="96">
        <f>SUMIFS('MASTER INPUT SHEET'!$J$9:$J$97,'MASTER INPUT SHEET'!$M$9:$M$97,B121,'MASTER INPUT SHEET'!$B$9:$B$97, "Drill")</f>
        <v>24158</v>
      </c>
      <c r="D121" s="96">
        <f>SUMIFS('MASTER INPUT SHEET'!$L$9:$L$106,'MASTER INPUT SHEET'!$M$9:$M$106,B121, 'MASTER INPUT SHEET'!$B$9:$B$106, "Drill")</f>
        <v>264708</v>
      </c>
    </row>
    <row r="122" spans="2:5" x14ac:dyDescent="0.2">
      <c r="B122" s="111" t="str">
        <v>actual(**)</v>
      </c>
      <c r="C122" s="96">
        <f>SUMIFS('MASTER INPUT SHEET'!$J$9:$J$97,'MASTER INPUT SHEET'!$M$9:$M$97,B122,'MASTER INPUT SHEET'!$B$9:$B$97, "Drill")</f>
        <v>0</v>
      </c>
      <c r="D122" s="96">
        <f>SUMIFS('MASTER INPUT SHEET'!$L$9:$L$106,'MASTER INPUT SHEET'!$M$9:$M$106,B122, 'MASTER INPUT SHEET'!$B$9:$B$106, "Drill")</f>
        <v>0</v>
      </c>
    </row>
    <row r="123" spans="2:5" x14ac:dyDescent="0.2">
      <c r="B123" s="111" t="str">
        <v>estimated</v>
      </c>
      <c r="C123" s="96">
        <f>SUMIFS('MASTER INPUT SHEET'!$J$9:$J$97,'MASTER INPUT SHEET'!$M$9:$M$97,B123,'MASTER INPUT SHEET'!$B$9:$B$97, "Drill")</f>
        <v>1826</v>
      </c>
      <c r="D123" s="96">
        <f>SUMIFS('MASTER INPUT SHEET'!$L$9:$L$106,'MASTER INPUT SHEET'!$M$9:$M$106,B123, 'MASTER INPUT SHEET'!$B$9:$B$106, "Drill")</f>
        <v>33000</v>
      </c>
    </row>
    <row r="124" spans="2:5" x14ac:dyDescent="0.2">
      <c r="B124" s="112" t="str">
        <v>preliminary</v>
      </c>
      <c r="C124" s="114">
        <f>SUMIFS('MASTER INPUT SHEET'!$J$9:$J$97,'MASTER INPUT SHEET'!$M$9:$M$97,B124,'MASTER INPUT SHEET'!$B$9:$B$97, "Drill")</f>
        <v>0</v>
      </c>
      <c r="D124" s="113">
        <f>SUMIFS('MASTER INPUT SHEET'!$L$9:$L$106,'MASTER INPUT SHEET'!$M$9:$M$106,B124, 'MASTER INPUT SHEET'!$B$9:$B$106, "Drill")</f>
        <v>0</v>
      </c>
    </row>
    <row r="125" spans="2:5" x14ac:dyDescent="0.2">
      <c r="B125" s="111"/>
      <c r="C125" s="96">
        <f>SUM(C121:C124)</f>
        <v>25984</v>
      </c>
      <c r="D125" s="96">
        <f>SUM(D121:D124)</f>
        <v>297708</v>
      </c>
    </row>
    <row r="126" spans="2:5" x14ac:dyDescent="0.2">
      <c r="C126" s="96"/>
    </row>
    <row r="127" spans="2:5" x14ac:dyDescent="0.2">
      <c r="B127" s="110" t="s">
        <v>474</v>
      </c>
      <c r="C127" s="109" t="s">
        <v>469</v>
      </c>
      <c r="D127" s="109" t="s">
        <v>468</v>
      </c>
    </row>
    <row r="128" spans="2:5" x14ac:dyDescent="0.2">
      <c r="B128" s="111" t="s">
        <v>52</v>
      </c>
      <c r="C128" s="96">
        <f>C122+C121</f>
        <v>24158</v>
      </c>
      <c r="D128" s="96">
        <f>D122+D121</f>
        <v>264708</v>
      </c>
    </row>
    <row r="129" spans="2:4" x14ac:dyDescent="0.2">
      <c r="B129" s="111" t="s">
        <v>131</v>
      </c>
      <c r="C129" s="96">
        <f>C123</f>
        <v>1826</v>
      </c>
      <c r="D129" s="96">
        <f>D123</f>
        <v>33000</v>
      </c>
    </row>
    <row r="130" spans="2:4" x14ac:dyDescent="0.2">
      <c r="B130" s="112" t="s">
        <v>202</v>
      </c>
      <c r="C130" s="113">
        <f>C124</f>
        <v>0</v>
      </c>
      <c r="D130" s="113">
        <f>D124</f>
        <v>0</v>
      </c>
    </row>
    <row r="131" spans="2:4" x14ac:dyDescent="0.2">
      <c r="B131" s="106" t="s">
        <v>445</v>
      </c>
      <c r="C131" s="96">
        <f>SUM(C128:C130)</f>
        <v>25984</v>
      </c>
      <c r="D131" s="96">
        <f>SUM(D128:D130)</f>
        <v>297708</v>
      </c>
    </row>
  </sheetData>
  <sheetProtection sheet="1" objects="1" scenarios="1" formatCells="0" formatColumns="0" formatRows="0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03A9F-EC57-D14D-99FA-4500CEC2E3DF}">
  <dimension ref="A1:AT307"/>
  <sheetViews>
    <sheetView zoomScale="68" workbookViewId="0">
      <pane xSplit="3" ySplit="1" topLeftCell="I200" activePane="bottomRight" state="frozen"/>
      <selection pane="topRight" activeCell="H33" sqref="H33"/>
      <selection pane="bottomLeft" activeCell="H33" sqref="H33"/>
      <selection pane="bottomRight" activeCell="R218" sqref="R218"/>
    </sheetView>
  </sheetViews>
  <sheetFormatPr baseColWidth="10" defaultColWidth="9.1640625" defaultRowHeight="16" x14ac:dyDescent="0.2"/>
  <cols>
    <col min="1" max="2" width="12.83203125" style="330" customWidth="1"/>
    <col min="3" max="3" width="34.33203125" style="410" customWidth="1"/>
    <col min="4" max="4" width="56.5" style="410" customWidth="1"/>
    <col min="5" max="7" width="12" style="330" customWidth="1"/>
    <col min="8" max="8" width="10.1640625" style="330" customWidth="1"/>
    <col min="9" max="9" width="10.6640625" style="524" customWidth="1"/>
    <col min="10" max="11" width="11" style="330" customWidth="1"/>
    <col min="12" max="12" width="16.33203125" style="407" customWidth="1"/>
    <col min="13" max="13" width="16.33203125" style="330" customWidth="1"/>
    <col min="14" max="15" width="17.1640625" style="330" customWidth="1"/>
    <col min="16" max="16" width="17.1640625" style="524" customWidth="1"/>
    <col min="17" max="17" width="17.6640625" style="408" customWidth="1"/>
    <col min="18" max="19" width="16.6640625" style="408" customWidth="1"/>
    <col min="20" max="20" width="17.6640625" style="330" customWidth="1"/>
    <col min="21" max="22" width="16.6640625" style="330" customWidth="1"/>
    <col min="23" max="23" width="17.6640625" style="330" customWidth="1"/>
    <col min="24" max="24" width="16.6640625" style="330" customWidth="1"/>
    <col min="25" max="26" width="15.83203125" style="370" customWidth="1"/>
    <col min="27" max="27" width="15.83203125" style="367" customWidth="1"/>
    <col min="28" max="29" width="15.83203125" style="370" customWidth="1"/>
    <col min="30" max="30" width="15.33203125" style="408" customWidth="1"/>
    <col min="31" max="31" width="15.83203125" style="370" customWidth="1"/>
    <col min="32" max="32" width="15.33203125" style="370" customWidth="1"/>
    <col min="33" max="34" width="15.83203125" style="370" customWidth="1"/>
    <col min="35" max="36" width="15.83203125" style="548" customWidth="1"/>
    <col min="37" max="38" width="16.5" style="408" customWidth="1"/>
    <col min="39" max="40" width="16.5" style="370" customWidth="1"/>
    <col min="41" max="41" width="15.83203125" style="370" customWidth="1"/>
    <col min="42" max="42" width="15.83203125" style="408" customWidth="1"/>
    <col min="43" max="43" width="15.83203125" style="370" customWidth="1"/>
    <col min="44" max="44" width="15.83203125" style="536" customWidth="1"/>
    <col min="45" max="45" width="67" style="330" customWidth="1"/>
    <col min="46" max="46" width="58.5" style="330" customWidth="1"/>
    <col min="47" max="16384" width="9.1640625" style="330"/>
  </cols>
  <sheetData>
    <row r="1" spans="1:46" s="8" customFormat="1" ht="86" thickBot="1" x14ac:dyDescent="0.25">
      <c r="A1" s="23" t="s">
        <v>0</v>
      </c>
      <c r="B1" s="23" t="s">
        <v>1</v>
      </c>
      <c r="C1" s="24" t="s">
        <v>2</v>
      </c>
      <c r="D1" s="25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  <c r="M1" s="23" t="s">
        <v>12</v>
      </c>
      <c r="N1" s="23" t="s">
        <v>13</v>
      </c>
      <c r="O1" s="23" t="s">
        <v>14</v>
      </c>
      <c r="P1" s="631" t="s">
        <v>15</v>
      </c>
      <c r="Q1" s="238" t="s">
        <v>475</v>
      </c>
      <c r="R1" s="62" t="s">
        <v>16</v>
      </c>
      <c r="S1" s="26" t="s">
        <v>17</v>
      </c>
      <c r="T1" s="26" t="s">
        <v>18</v>
      </c>
      <c r="U1" s="27" t="s">
        <v>19</v>
      </c>
      <c r="V1" s="540" t="s">
        <v>20</v>
      </c>
      <c r="W1" s="27" t="s">
        <v>21</v>
      </c>
      <c r="X1" s="27" t="s">
        <v>22</v>
      </c>
      <c r="Y1" s="360" t="s">
        <v>23</v>
      </c>
      <c r="Z1" s="360" t="s">
        <v>24</v>
      </c>
      <c r="AA1" s="360" t="s">
        <v>25</v>
      </c>
      <c r="AB1" s="360" t="s">
        <v>26</v>
      </c>
      <c r="AC1" s="361" t="s">
        <v>27</v>
      </c>
      <c r="AD1" s="57" t="s">
        <v>28</v>
      </c>
      <c r="AE1" s="625" t="s">
        <v>476</v>
      </c>
      <c r="AF1" s="628" t="s">
        <v>30</v>
      </c>
      <c r="AG1" s="626" t="s">
        <v>31</v>
      </c>
      <c r="AH1" s="360" t="s">
        <v>32</v>
      </c>
      <c r="AI1" s="360" t="s">
        <v>33</v>
      </c>
      <c r="AJ1" s="622" t="s">
        <v>34</v>
      </c>
      <c r="AK1" s="629" t="s">
        <v>35</v>
      </c>
      <c r="AL1" s="623" t="s">
        <v>36</v>
      </c>
      <c r="AM1" s="630" t="s">
        <v>37</v>
      </c>
      <c r="AN1" s="630" t="s">
        <v>477</v>
      </c>
      <c r="AO1" s="368" t="s">
        <v>38</v>
      </c>
      <c r="AP1" s="368" t="s">
        <v>39</v>
      </c>
      <c r="AQ1" s="57" t="s">
        <v>40</v>
      </c>
      <c r="AR1" s="368" t="s">
        <v>41</v>
      </c>
      <c r="AS1" s="57" t="s">
        <v>40</v>
      </c>
      <c r="AT1" s="368" t="s">
        <v>43</v>
      </c>
    </row>
    <row r="2" spans="1:46" s="416" customFormat="1" ht="19" x14ac:dyDescent="0.2">
      <c r="A2" s="823" t="s">
        <v>122</v>
      </c>
      <c r="B2" s="824"/>
      <c r="C2" s="824"/>
      <c r="D2" s="569"/>
      <c r="E2" s="569"/>
      <c r="F2" s="569"/>
      <c r="G2" s="569"/>
      <c r="H2" s="569"/>
      <c r="I2" s="570"/>
      <c r="J2" s="569"/>
      <c r="K2" s="569"/>
      <c r="L2" s="569"/>
      <c r="M2" s="569"/>
      <c r="N2" s="569"/>
      <c r="O2" s="569"/>
      <c r="P2" s="570"/>
      <c r="Q2" s="571"/>
      <c r="R2" s="569"/>
      <c r="S2" s="571"/>
      <c r="T2" s="569"/>
      <c r="U2" s="569"/>
      <c r="V2" s="569"/>
      <c r="W2" s="569"/>
      <c r="X2" s="569"/>
      <c r="Y2" s="572"/>
      <c r="Z2" s="572"/>
      <c r="AA2" s="572"/>
      <c r="AB2" s="572"/>
      <c r="AC2" s="572"/>
      <c r="AD2" s="573"/>
      <c r="AE2" s="574"/>
      <c r="AF2" s="574"/>
      <c r="AG2" s="574"/>
      <c r="AH2" s="574"/>
      <c r="AI2" s="574"/>
      <c r="AJ2" s="574"/>
      <c r="AK2" s="573"/>
      <c r="AL2" s="575"/>
      <c r="AM2" s="576"/>
      <c r="AN2" s="576"/>
      <c r="AO2" s="575"/>
      <c r="AP2" s="573"/>
      <c r="AQ2" s="574"/>
      <c r="AR2" s="573"/>
      <c r="AS2" s="574"/>
      <c r="AT2" s="574"/>
    </row>
    <row r="3" spans="1:46" s="8" customFormat="1" ht="34" x14ac:dyDescent="0.2">
      <c r="A3" s="9" cm="1">
        <f t="array" ref="A3:AT5">_xlfn._xlws.FILTER(cargo_table, inter_shipping_label=A2)</f>
        <v>1.2</v>
      </c>
      <c r="B3" s="38" t="str">
        <v>Drill</v>
      </c>
      <c r="C3" s="11" t="str">
        <v>287 Loader</v>
      </c>
      <c r="D3" s="3" t="str">
        <v>Required onsite early in FY23 for refit/pre-drill activity support unless ASC can supply dedicated loader for Upgrade use</v>
      </c>
      <c r="E3" s="4">
        <v>114</v>
      </c>
      <c r="F3" s="4">
        <v>77</v>
      </c>
      <c r="G3" s="4">
        <v>96</v>
      </c>
      <c r="H3" s="4">
        <v>1</v>
      </c>
      <c r="I3" s="4">
        <v>488</v>
      </c>
      <c r="J3" s="4">
        <v>488</v>
      </c>
      <c r="K3" s="4">
        <v>10273</v>
      </c>
      <c r="L3" s="4">
        <v>10273</v>
      </c>
      <c r="M3" s="4" t="str">
        <v>actual</v>
      </c>
      <c r="N3" s="4" t="str">
        <v>-</v>
      </c>
      <c r="O3" s="756" t="str">
        <v xml:space="preserve"> U. Wisc. Madison</v>
      </c>
      <c r="P3" s="758" t="str">
        <v>At South Pole</v>
      </c>
      <c r="Q3" s="237">
        <v>43753</v>
      </c>
      <c r="R3" s="757">
        <v>43784</v>
      </c>
      <c r="S3" s="757" t="str">
        <v>At South Pole</v>
      </c>
      <c r="T3" s="758" t="str">
        <v>Truck</v>
      </c>
      <c r="U3" s="742" t="str">
        <v>At South Pole</v>
      </c>
      <c r="V3" s="541" t="str">
        <v>at South Pole</v>
      </c>
      <c r="W3" s="742" t="str">
        <v>at South Pole</v>
      </c>
      <c r="X3" s="759" t="str">
        <v>at South Pole</v>
      </c>
      <c r="Y3" s="316" t="str">
        <v>-</v>
      </c>
      <c r="Z3" s="316" t="str">
        <v>-</v>
      </c>
      <c r="AA3" s="316" t="str">
        <v>-</v>
      </c>
      <c r="AB3" s="316" t="str">
        <v>-</v>
      </c>
      <c r="AC3" s="316" t="str">
        <v>-</v>
      </c>
      <c r="AD3" s="760" t="str">
        <v>at South Pole</v>
      </c>
      <c r="AE3" s="363" t="str">
        <v>at South Pole</v>
      </c>
      <c r="AF3" s="363" t="str">
        <v>at South Pole</v>
      </c>
      <c r="AG3" s="316" t="str">
        <v>-</v>
      </c>
      <c r="AH3" s="316" t="str">
        <v>-</v>
      </c>
      <c r="AI3" s="316" t="str">
        <v>-</v>
      </c>
      <c r="AJ3" s="316" t="str">
        <v>-</v>
      </c>
      <c r="AK3" s="53" t="str">
        <v>at South Pole</v>
      </c>
      <c r="AL3" s="53">
        <v>45261</v>
      </c>
      <c r="AM3" s="316" t="str">
        <v>at South Pole</v>
      </c>
      <c r="AN3" s="316">
        <v>1477</v>
      </c>
      <c r="AO3" s="316" t="str">
        <v>No*</v>
      </c>
      <c r="AP3" s="316" t="str">
        <v>D. Gibson</v>
      </c>
      <c r="AQ3" s="53">
        <v>44476</v>
      </c>
      <c r="AR3" s="316" t="str">
        <v>I. McEwen</v>
      </c>
      <c r="AS3" s="53">
        <v>44476</v>
      </c>
      <c r="AT3" s="316" t="str">
        <v>*Required onsite early in FY23 for refit/pre-drill activity support unless ASC can supply dedicated loader for Upgrade use</v>
      </c>
    </row>
    <row r="4" spans="1:46" s="8" customFormat="1" ht="34" x14ac:dyDescent="0.2">
      <c r="A4" s="9">
        <v>1.2</v>
      </c>
      <c r="B4" s="38" t="str">
        <v>Drill</v>
      </c>
      <c r="C4" s="11" t="str">
        <v>Firn Drill Components - 1</v>
      </c>
      <c r="D4" s="3" t="str">
        <v xml:space="preserve">Firn drill sheave. Required Field Season 2 for final refit &amp; functional testing </v>
      </c>
      <c r="E4" s="4">
        <v>97</v>
      </c>
      <c r="F4" s="4">
        <v>44</v>
      </c>
      <c r="G4" s="4">
        <v>63</v>
      </c>
      <c r="H4" s="4">
        <v>1</v>
      </c>
      <c r="I4" s="4">
        <v>156</v>
      </c>
      <c r="J4" s="4">
        <v>156</v>
      </c>
      <c r="K4" s="4">
        <v>920</v>
      </c>
      <c r="L4" s="4">
        <v>920</v>
      </c>
      <c r="M4" s="4" t="str">
        <v>actual</v>
      </c>
      <c r="N4" s="4" t="str">
        <v>-</v>
      </c>
      <c r="O4" s="756" t="str">
        <v xml:space="preserve"> U. Wisc. Madison</v>
      </c>
      <c r="P4" s="758" t="str">
        <v>At South Pole</v>
      </c>
      <c r="Q4" s="237">
        <v>43845</v>
      </c>
      <c r="R4" s="757" t="str">
        <v>-</v>
      </c>
      <c r="S4" s="757" t="str">
        <v>At South Pole</v>
      </c>
      <c r="T4" s="758" t="str">
        <v>-</v>
      </c>
      <c r="U4" s="742" t="str">
        <v>At South Pole</v>
      </c>
      <c r="V4" s="541" t="str">
        <v>at South Pole</v>
      </c>
      <c r="W4" s="742" t="str">
        <v>at South Pole</v>
      </c>
      <c r="X4" s="759" t="str">
        <v>at South Pole</v>
      </c>
      <c r="Y4" s="316" t="str">
        <v>-</v>
      </c>
      <c r="Z4" s="316" t="str">
        <v>-</v>
      </c>
      <c r="AA4" s="316" t="str">
        <v>-</v>
      </c>
      <c r="AB4" s="316" t="str">
        <v>-</v>
      </c>
      <c r="AC4" s="316" t="str">
        <v>-</v>
      </c>
      <c r="AD4" s="760" t="str">
        <v>at South Pole</v>
      </c>
      <c r="AE4" s="363" t="str">
        <v>at South Pole</v>
      </c>
      <c r="AF4" s="363" t="str">
        <v>at South Pole</v>
      </c>
      <c r="AG4" s="316" t="str">
        <v>-</v>
      </c>
      <c r="AH4" s="316" t="str">
        <v>-</v>
      </c>
      <c r="AI4" s="316" t="str">
        <v>-</v>
      </c>
      <c r="AJ4" s="316" t="str">
        <v>-</v>
      </c>
      <c r="AK4" s="53" t="str">
        <v>at South Pole</v>
      </c>
      <c r="AL4" s="53">
        <v>45627</v>
      </c>
      <c r="AM4" s="316" t="str">
        <v>at South Pole</v>
      </c>
      <c r="AN4" s="316" t="str">
        <v>-</v>
      </c>
      <c r="AO4" s="316" t="str">
        <v>Yes</v>
      </c>
      <c r="AP4" s="316" t="str">
        <v>D. Gibson</v>
      </c>
      <c r="AQ4" s="53">
        <v>44477</v>
      </c>
      <c r="AR4" s="316" t="str">
        <v>I. McEwen</v>
      </c>
      <c r="AS4" s="53">
        <v>44477</v>
      </c>
      <c r="AT4" s="316" t="str">
        <v>-</v>
      </c>
    </row>
    <row r="5" spans="1:46" s="8" customFormat="1" ht="34" x14ac:dyDescent="0.2">
      <c r="A5" s="9">
        <v>1.2</v>
      </c>
      <c r="B5" s="38" t="str">
        <v>Drill</v>
      </c>
      <c r="C5" s="11" t="str">
        <v>Firn Drill Components - 2</v>
      </c>
      <c r="D5" s="3" t="str">
        <v xml:space="preserve">Firn drill drillhead. Required Field Season 2 for final refit &amp; functional testing </v>
      </c>
      <c r="E5" s="4">
        <v>125</v>
      </c>
      <c r="F5" s="4">
        <v>33</v>
      </c>
      <c r="G5" s="4">
        <v>37</v>
      </c>
      <c r="H5" s="4">
        <v>1</v>
      </c>
      <c r="I5" s="4">
        <v>89</v>
      </c>
      <c r="J5" s="4">
        <v>89</v>
      </c>
      <c r="K5" s="4">
        <v>1048</v>
      </c>
      <c r="L5" s="4">
        <v>1048</v>
      </c>
      <c r="M5" s="4" t="str">
        <v>actual</v>
      </c>
      <c r="N5" s="4" t="str">
        <v>-</v>
      </c>
      <c r="O5" s="756" t="str">
        <v xml:space="preserve"> U. Wisc. Madison</v>
      </c>
      <c r="P5" s="758" t="str">
        <v>At South Pole</v>
      </c>
      <c r="Q5" s="237">
        <v>43845</v>
      </c>
      <c r="R5" s="757" t="str">
        <v>-</v>
      </c>
      <c r="S5" s="757" t="str">
        <v>At South Pole</v>
      </c>
      <c r="T5" s="758" t="str">
        <v>-</v>
      </c>
      <c r="U5" s="742" t="str">
        <v>At South Pole</v>
      </c>
      <c r="V5" s="541" t="str">
        <v>at South Pole</v>
      </c>
      <c r="W5" s="742" t="str">
        <v>at South Pole</v>
      </c>
      <c r="X5" s="759" t="str">
        <v>at South Pole</v>
      </c>
      <c r="Y5" s="316" t="str">
        <v>-</v>
      </c>
      <c r="Z5" s="316" t="str">
        <v>-</v>
      </c>
      <c r="AA5" s="316" t="str">
        <v>-</v>
      </c>
      <c r="AB5" s="316" t="str">
        <v>-</v>
      </c>
      <c r="AC5" s="316" t="str">
        <v>-</v>
      </c>
      <c r="AD5" s="760" t="str">
        <v>at South Pole</v>
      </c>
      <c r="AE5" s="363" t="str">
        <v>at South Pole</v>
      </c>
      <c r="AF5" s="363" t="str">
        <v>at South Pole</v>
      </c>
      <c r="AG5" s="316" t="str">
        <v>-</v>
      </c>
      <c r="AH5" s="316" t="str">
        <v>-</v>
      </c>
      <c r="AI5" s="316" t="str">
        <v>-</v>
      </c>
      <c r="AJ5" s="316" t="str">
        <v>-</v>
      </c>
      <c r="AK5" s="53" t="str">
        <v>at South Pole</v>
      </c>
      <c r="AL5" s="53">
        <v>45627</v>
      </c>
      <c r="AM5" s="316" t="str">
        <v>at South Pole</v>
      </c>
      <c r="AN5" s="316" t="str">
        <v>-</v>
      </c>
      <c r="AO5" s="316" t="str">
        <v>Yes</v>
      </c>
      <c r="AP5" s="316" t="str">
        <v>D. Gibson</v>
      </c>
      <c r="AQ5" s="53">
        <v>44477</v>
      </c>
      <c r="AR5" s="316" t="str">
        <v>I. McEwen</v>
      </c>
      <c r="AS5" s="53">
        <v>44477</v>
      </c>
      <c r="AT5" s="316" t="str">
        <v>-</v>
      </c>
    </row>
    <row r="6" spans="1:46" s="8" customFormat="1" x14ac:dyDescent="0.2">
      <c r="A6" s="275"/>
      <c r="B6" s="276"/>
      <c r="C6" s="277"/>
      <c r="D6" s="278"/>
      <c r="E6" s="4"/>
      <c r="F6" s="4"/>
      <c r="G6" s="4"/>
      <c r="H6" s="4"/>
      <c r="I6" s="4"/>
      <c r="J6" s="4"/>
      <c r="K6" s="4"/>
      <c r="L6" s="4"/>
      <c r="M6" s="4"/>
      <c r="N6" s="4"/>
      <c r="O6" s="756"/>
      <c r="P6" s="758"/>
      <c r="Q6" s="237"/>
      <c r="R6" s="757"/>
      <c r="S6" s="757"/>
      <c r="T6" s="758"/>
      <c r="U6" s="742"/>
      <c r="V6" s="541"/>
      <c r="W6" s="742"/>
      <c r="X6" s="759"/>
      <c r="Y6" s="316"/>
      <c r="Z6" s="316"/>
      <c r="AA6" s="316"/>
      <c r="AB6" s="316"/>
      <c r="AC6" s="316"/>
      <c r="AD6" s="760"/>
      <c r="AE6" s="363"/>
      <c r="AF6" s="363"/>
      <c r="AG6" s="316"/>
      <c r="AH6" s="316"/>
      <c r="AI6" s="316"/>
      <c r="AJ6" s="316"/>
      <c r="AK6" s="53"/>
      <c r="AL6" s="53"/>
      <c r="AM6" s="316"/>
      <c r="AN6" s="316"/>
      <c r="AO6" s="316"/>
      <c r="AP6" s="316"/>
      <c r="AQ6" s="53"/>
      <c r="AR6" s="316"/>
      <c r="AS6" s="53"/>
      <c r="AT6" s="316"/>
    </row>
    <row r="7" spans="1:46" s="8" customFormat="1" x14ac:dyDescent="0.2">
      <c r="A7" s="9"/>
      <c r="B7" s="38"/>
      <c r="C7" s="11"/>
      <c r="D7" s="3"/>
      <c r="E7" s="4"/>
      <c r="F7" s="4"/>
      <c r="G7" s="4"/>
      <c r="H7" s="4"/>
      <c r="I7" s="4"/>
      <c r="J7" s="4"/>
      <c r="K7" s="4"/>
      <c r="L7" s="4"/>
      <c r="M7" s="4"/>
      <c r="N7" s="4"/>
      <c r="O7" s="756"/>
      <c r="P7" s="758"/>
      <c r="Q7" s="237"/>
      <c r="R7" s="757"/>
      <c r="S7" s="757"/>
      <c r="T7" s="758"/>
      <c r="U7" s="742"/>
      <c r="V7" s="541"/>
      <c r="W7" s="742"/>
      <c r="X7" s="759"/>
      <c r="Y7" s="316"/>
      <c r="Z7" s="316"/>
      <c r="AA7" s="316"/>
      <c r="AB7" s="316"/>
      <c r="AC7" s="316"/>
      <c r="AD7" s="760"/>
      <c r="AE7" s="363"/>
      <c r="AF7" s="363"/>
      <c r="AG7" s="316"/>
      <c r="AH7" s="316"/>
      <c r="AI7" s="316"/>
      <c r="AJ7" s="316"/>
      <c r="AK7" s="53"/>
      <c r="AL7" s="53"/>
      <c r="AM7" s="316"/>
      <c r="AN7" s="316"/>
      <c r="AO7" s="316"/>
      <c r="AP7" s="316"/>
      <c r="AQ7" s="53"/>
      <c r="AR7" s="316"/>
      <c r="AS7" s="53"/>
      <c r="AT7" s="316"/>
    </row>
    <row r="8" spans="1:46" s="8" customFormat="1" x14ac:dyDescent="0.2">
      <c r="A8" s="9"/>
      <c r="B8" s="38"/>
      <c r="C8" s="11"/>
      <c r="D8" s="3"/>
      <c r="E8" s="4"/>
      <c r="F8" s="4"/>
      <c r="G8" s="4"/>
      <c r="H8" s="4"/>
      <c r="I8" s="4"/>
      <c r="J8" s="4"/>
      <c r="K8" s="4"/>
      <c r="L8" s="4"/>
      <c r="M8" s="4"/>
      <c r="N8" s="4"/>
      <c r="O8" s="756"/>
      <c r="P8" s="758"/>
      <c r="Q8" s="237"/>
      <c r="R8" s="757"/>
      <c r="S8" s="757"/>
      <c r="T8" s="758"/>
      <c r="U8" s="742"/>
      <c r="V8" s="541"/>
      <c r="W8" s="742"/>
      <c r="X8" s="759"/>
      <c r="Y8" s="316"/>
      <c r="Z8" s="316"/>
      <c r="AA8" s="316"/>
      <c r="AB8" s="316"/>
      <c r="AC8" s="316"/>
      <c r="AD8" s="760"/>
      <c r="AE8" s="363"/>
      <c r="AF8" s="363"/>
      <c r="AG8" s="316"/>
      <c r="AH8" s="316"/>
      <c r="AI8" s="316"/>
      <c r="AJ8" s="316"/>
      <c r="AK8" s="53"/>
      <c r="AL8" s="53"/>
      <c r="AM8" s="316"/>
      <c r="AN8" s="316"/>
      <c r="AO8" s="316"/>
      <c r="AP8" s="316"/>
      <c r="AQ8" s="53"/>
      <c r="AR8" s="316"/>
      <c r="AS8" s="53"/>
      <c r="AT8" s="316"/>
    </row>
    <row r="9" spans="1:46" s="8" customFormat="1" x14ac:dyDescent="0.2">
      <c r="A9" s="9"/>
      <c r="B9" s="38"/>
      <c r="C9" s="11"/>
      <c r="D9" s="3"/>
      <c r="E9" s="4"/>
      <c r="F9" s="4"/>
      <c r="G9" s="4"/>
      <c r="H9" s="4"/>
      <c r="I9" s="4"/>
      <c r="J9" s="4"/>
      <c r="K9" s="4"/>
      <c r="L9" s="4"/>
      <c r="M9" s="4"/>
      <c r="N9" s="4"/>
      <c r="O9" s="756"/>
      <c r="P9" s="758"/>
      <c r="Q9" s="237"/>
      <c r="R9" s="757"/>
      <c r="S9" s="757"/>
      <c r="T9" s="758"/>
      <c r="U9" s="742"/>
      <c r="V9" s="541"/>
      <c r="W9" s="742"/>
      <c r="X9" s="759"/>
      <c r="Y9" s="316"/>
      <c r="Z9" s="316"/>
      <c r="AA9" s="316"/>
      <c r="AB9" s="316"/>
      <c r="AC9" s="316"/>
      <c r="AD9" s="760"/>
      <c r="AE9" s="363"/>
      <c r="AF9" s="363"/>
      <c r="AG9" s="316"/>
      <c r="AH9" s="316"/>
      <c r="AI9" s="316"/>
      <c r="AJ9" s="316"/>
      <c r="AK9" s="53"/>
      <c r="AL9" s="53"/>
      <c r="AM9" s="316"/>
      <c r="AN9" s="316"/>
      <c r="AO9" s="316"/>
      <c r="AP9" s="316"/>
      <c r="AQ9" s="53"/>
      <c r="AR9" s="316"/>
      <c r="AS9" s="53"/>
      <c r="AT9" s="316"/>
    </row>
    <row r="10" spans="1:46" s="8" customFormat="1" ht="17" thickBot="1" x14ac:dyDescent="0.25">
      <c r="A10" s="275"/>
      <c r="B10" s="276"/>
      <c r="C10" s="277"/>
      <c r="D10" s="278"/>
      <c r="E10" s="4"/>
      <c r="F10" s="4"/>
      <c r="G10" s="4"/>
      <c r="H10" s="4"/>
      <c r="I10" s="4"/>
      <c r="J10" s="4"/>
      <c r="K10" s="4"/>
      <c r="L10" s="4"/>
      <c r="M10" s="4"/>
      <c r="N10" s="4"/>
      <c r="O10" s="756"/>
      <c r="P10" s="758"/>
      <c r="Q10" s="237"/>
      <c r="R10" s="757"/>
      <c r="S10" s="757"/>
      <c r="T10" s="758"/>
      <c r="U10" s="742"/>
      <c r="V10" s="541"/>
      <c r="W10" s="742"/>
      <c r="X10" s="759"/>
      <c r="Y10" s="316"/>
      <c r="Z10" s="316"/>
      <c r="AA10" s="316"/>
      <c r="AB10" s="316"/>
      <c r="AC10" s="316"/>
      <c r="AD10" s="760"/>
      <c r="AE10" s="363"/>
      <c r="AF10" s="363"/>
      <c r="AG10" s="316"/>
      <c r="AH10" s="316"/>
      <c r="AI10" s="316"/>
      <c r="AJ10" s="316"/>
      <c r="AK10" s="53"/>
      <c r="AL10" s="53"/>
      <c r="AM10" s="316"/>
      <c r="AN10" s="316"/>
      <c r="AO10" s="316"/>
      <c r="AP10" s="316"/>
      <c r="AQ10" s="53"/>
      <c r="AR10" s="316"/>
      <c r="AS10" s="53"/>
      <c r="AT10" s="316"/>
    </row>
    <row r="11" spans="1:46" s="395" customFormat="1" ht="17" thickBot="1" x14ac:dyDescent="0.25">
      <c r="A11" s="788"/>
      <c r="B11" s="788"/>
      <c r="C11" s="788"/>
      <c r="D11" s="788"/>
      <c r="E11" s="788"/>
      <c r="F11" s="788"/>
      <c r="G11" s="788"/>
      <c r="H11" s="788"/>
      <c r="I11" s="789"/>
      <c r="J11" s="496">
        <f>SUM(J3:J10)</f>
        <v>733</v>
      </c>
      <c r="K11" s="788"/>
      <c r="L11" s="496">
        <f>SUM(L3:L10)</f>
        <v>12241</v>
      </c>
      <c r="M11" s="790"/>
      <c r="N11" s="790"/>
      <c r="O11" s="790"/>
      <c r="P11" s="789"/>
      <c r="Q11" s="791"/>
      <c r="R11" s="790"/>
      <c r="S11" s="791"/>
      <c r="T11" s="790"/>
      <c r="U11" s="790"/>
      <c r="V11" s="790"/>
      <c r="W11" s="790"/>
      <c r="X11" s="790"/>
      <c r="Y11" s="792"/>
      <c r="Z11" s="792"/>
      <c r="AA11" s="792"/>
      <c r="AB11" s="792"/>
      <c r="AC11" s="792"/>
      <c r="AD11" s="791"/>
      <c r="AE11" s="792"/>
      <c r="AF11" s="792"/>
      <c r="AG11" s="792"/>
      <c r="AH11" s="792"/>
      <c r="AI11" s="792"/>
      <c r="AJ11" s="544"/>
      <c r="AK11" s="791"/>
      <c r="AL11" s="791"/>
      <c r="AM11" s="792"/>
      <c r="AN11" s="792"/>
      <c r="AO11" s="788"/>
      <c r="AP11" s="791"/>
      <c r="AQ11" s="788"/>
      <c r="AR11" s="793"/>
      <c r="AS11" s="788"/>
      <c r="AT11" s="788"/>
    </row>
    <row r="12" spans="1:46" s="395" customFormat="1" x14ac:dyDescent="0.2">
      <c r="A12" s="788"/>
      <c r="B12" s="788"/>
      <c r="C12" s="788"/>
      <c r="D12" s="788"/>
      <c r="E12" s="788"/>
      <c r="F12" s="788"/>
      <c r="G12" s="788"/>
      <c r="H12" s="788"/>
      <c r="I12" s="789"/>
      <c r="J12" s="54" t="s">
        <v>478</v>
      </c>
      <c r="K12" s="788"/>
      <c r="L12" s="8" t="s">
        <v>479</v>
      </c>
      <c r="M12" s="788"/>
      <c r="N12" s="788"/>
      <c r="O12" s="788"/>
      <c r="P12" s="789"/>
      <c r="Q12" s="791"/>
      <c r="R12" s="791"/>
      <c r="S12" s="791"/>
      <c r="T12" s="788"/>
      <c r="U12" s="788"/>
      <c r="V12" s="788"/>
      <c r="W12" s="788"/>
      <c r="X12" s="788"/>
      <c r="Y12" s="792"/>
      <c r="Z12" s="792"/>
      <c r="AA12" s="792"/>
      <c r="AB12" s="792"/>
      <c r="AC12" s="792"/>
      <c r="AD12" s="791"/>
      <c r="AE12" s="792"/>
      <c r="AF12" s="792"/>
      <c r="AG12" s="792"/>
      <c r="AH12" s="792"/>
      <c r="AI12" s="792"/>
      <c r="AJ12" s="544"/>
      <c r="AK12" s="791"/>
      <c r="AL12" s="791"/>
      <c r="AM12" s="792"/>
      <c r="AN12" s="792"/>
      <c r="AO12" s="788"/>
      <c r="AP12" s="791"/>
      <c r="AQ12" s="788"/>
      <c r="AR12" s="793"/>
      <c r="AS12" s="788"/>
      <c r="AT12" s="788"/>
    </row>
    <row r="13" spans="1:46" s="395" customFormat="1" x14ac:dyDescent="0.2">
      <c r="A13" s="788"/>
      <c r="B13" s="788"/>
      <c r="C13" s="788"/>
      <c r="D13" s="788"/>
      <c r="E13" s="788"/>
      <c r="F13" s="788"/>
      <c r="G13" s="788"/>
      <c r="H13" s="788"/>
      <c r="I13" s="789"/>
      <c r="J13" s="788"/>
      <c r="K13" s="788"/>
      <c r="L13" s="788"/>
      <c r="M13" s="788"/>
      <c r="N13" s="788"/>
      <c r="O13" s="788"/>
      <c r="P13" s="789"/>
      <c r="Q13" s="791"/>
      <c r="R13" s="791"/>
      <c r="S13" s="791"/>
      <c r="T13" s="788"/>
      <c r="U13" s="788"/>
      <c r="V13" s="788"/>
      <c r="W13" s="788"/>
      <c r="X13" s="788"/>
      <c r="Y13" s="792"/>
      <c r="Z13" s="792"/>
      <c r="AA13" s="792"/>
      <c r="AB13" s="792"/>
      <c r="AC13" s="792"/>
      <c r="AD13" s="791"/>
      <c r="AE13" s="792"/>
      <c r="AF13" s="792"/>
      <c r="AG13" s="792"/>
      <c r="AH13" s="792"/>
      <c r="AI13" s="792"/>
      <c r="AJ13" s="544"/>
      <c r="AK13" s="791"/>
      <c r="AL13" s="791"/>
      <c r="AM13" s="792"/>
      <c r="AN13" s="792"/>
      <c r="AO13" s="788"/>
      <c r="AP13" s="791"/>
      <c r="AQ13" s="788"/>
      <c r="AR13" s="793"/>
      <c r="AS13" s="788"/>
      <c r="AT13" s="788"/>
    </row>
    <row r="14" spans="1:46" s="395" customFormat="1" x14ac:dyDescent="0.2">
      <c r="A14" s="788"/>
      <c r="B14" s="788"/>
      <c r="C14" s="788"/>
      <c r="D14" s="788"/>
      <c r="E14" s="788"/>
      <c r="F14" s="788"/>
      <c r="G14" s="788"/>
      <c r="H14" s="788"/>
      <c r="I14" s="789"/>
      <c r="J14" s="788"/>
      <c r="K14" s="788"/>
      <c r="L14" s="788"/>
      <c r="M14" s="788"/>
      <c r="N14" s="788"/>
      <c r="O14" s="788"/>
      <c r="P14" s="789"/>
      <c r="Q14" s="791"/>
      <c r="R14" s="791"/>
      <c r="S14" s="791"/>
      <c r="T14" s="788"/>
      <c r="U14" s="788"/>
      <c r="V14" s="788"/>
      <c r="W14" s="788"/>
      <c r="X14" s="788"/>
      <c r="Y14" s="792"/>
      <c r="Z14" s="792"/>
      <c r="AA14" s="792"/>
      <c r="AB14" s="792"/>
      <c r="AC14" s="792"/>
      <c r="AD14" s="791"/>
      <c r="AE14" s="792"/>
      <c r="AF14" s="792"/>
      <c r="AG14" s="792"/>
      <c r="AH14" s="792"/>
      <c r="AI14" s="792"/>
      <c r="AJ14" s="544"/>
      <c r="AK14" s="427"/>
      <c r="AL14" s="427"/>
      <c r="AM14" s="427"/>
      <c r="AN14" s="427"/>
      <c r="AO14" s="788"/>
      <c r="AP14" s="791"/>
      <c r="AQ14" s="788"/>
      <c r="AR14" s="793"/>
      <c r="AS14" s="788"/>
      <c r="AT14" s="788"/>
    </row>
    <row r="15" spans="1:46" s="395" customFormat="1" x14ac:dyDescent="0.2">
      <c r="A15" s="788"/>
      <c r="B15" s="788"/>
      <c r="C15" s="788"/>
      <c r="D15" s="788"/>
      <c r="E15" s="788"/>
      <c r="F15" s="788"/>
      <c r="G15" s="788"/>
      <c r="H15" s="788"/>
      <c r="I15" s="789"/>
      <c r="J15" s="788"/>
      <c r="K15" s="788"/>
      <c r="L15" s="788"/>
      <c r="M15" s="788"/>
      <c r="N15" s="788"/>
      <c r="O15" s="788"/>
      <c r="P15" s="789"/>
      <c r="Q15" s="791"/>
      <c r="R15" s="788"/>
      <c r="S15" s="791"/>
      <c r="T15" s="788"/>
      <c r="U15" s="788"/>
      <c r="V15" s="788"/>
      <c r="W15" s="788"/>
      <c r="X15" s="788"/>
      <c r="Y15" s="792"/>
      <c r="Z15" s="792"/>
      <c r="AA15" s="792"/>
      <c r="AB15" s="792"/>
      <c r="AC15" s="792"/>
      <c r="AD15" s="791"/>
      <c r="AE15" s="792"/>
      <c r="AF15" s="792"/>
      <c r="AG15" s="792"/>
      <c r="AH15" s="792"/>
      <c r="AI15" s="792"/>
      <c r="AJ15" s="544"/>
      <c r="AK15" s="427"/>
      <c r="AL15" s="427"/>
      <c r="AM15" s="427"/>
      <c r="AN15" s="427"/>
      <c r="AO15" s="788"/>
      <c r="AP15" s="791"/>
      <c r="AQ15" s="788"/>
      <c r="AR15" s="793"/>
      <c r="AS15" s="788"/>
      <c r="AT15" s="788"/>
    </row>
    <row r="16" spans="1:46" s="416" customFormat="1" ht="19" x14ac:dyDescent="0.2">
      <c r="A16" s="825" t="s">
        <v>55</v>
      </c>
      <c r="B16" s="826"/>
      <c r="C16" s="826"/>
      <c r="D16" s="387"/>
      <c r="E16" s="387"/>
      <c r="F16" s="387"/>
      <c r="G16" s="387"/>
      <c r="H16" s="387"/>
      <c r="I16" s="521"/>
      <c r="J16" s="387"/>
      <c r="K16" s="387"/>
      <c r="L16" s="387"/>
      <c r="M16" s="387"/>
      <c r="N16" s="387"/>
      <c r="O16" s="387"/>
      <c r="P16" s="521"/>
      <c r="Q16" s="529"/>
      <c r="R16" s="387"/>
      <c r="S16" s="529"/>
      <c r="T16" s="387"/>
      <c r="U16" s="387"/>
      <c r="V16" s="387"/>
      <c r="W16" s="387"/>
      <c r="X16" s="387"/>
      <c r="Y16" s="518"/>
      <c r="Z16" s="518"/>
      <c r="AA16" s="518"/>
      <c r="AB16" s="518"/>
      <c r="AC16" s="518"/>
      <c r="AD16" s="414"/>
      <c r="AE16" s="422"/>
      <c r="AF16" s="422"/>
      <c r="AG16" s="422"/>
      <c r="AH16" s="422"/>
      <c r="AI16" s="422"/>
      <c r="AJ16" s="422"/>
      <c r="AK16" s="414"/>
      <c r="AL16" s="414"/>
      <c r="AM16" s="414"/>
      <c r="AN16" s="414"/>
      <c r="AO16" s="413"/>
      <c r="AP16" s="414"/>
      <c r="AQ16" s="422"/>
      <c r="AR16" s="414"/>
      <c r="AS16" s="422"/>
      <c r="AT16" s="422"/>
    </row>
    <row r="17" spans="1:46" s="8" customFormat="1" ht="34" x14ac:dyDescent="0.2">
      <c r="A17" s="9" cm="1">
        <f t="array" ref="A17:AT34">_xlfn._xlws.FILTER(cargo_table, inter_shipping_label=A16)</f>
        <v>1.2</v>
      </c>
      <c r="B17" s="38" t="str">
        <v>Drill</v>
      </c>
      <c r="C17" s="11" t="str">
        <v>Gen 1 - housed in 20' container</v>
      </c>
      <c r="D17" s="3" t="str">
        <v>Power generation unit 1 housed in 20' shipping container</v>
      </c>
      <c r="E17" s="4">
        <v>240</v>
      </c>
      <c r="F17" s="4">
        <v>96</v>
      </c>
      <c r="G17" s="4">
        <v>102</v>
      </c>
      <c r="H17" s="4">
        <v>1</v>
      </c>
      <c r="I17" s="4">
        <v>1360</v>
      </c>
      <c r="J17" s="4">
        <v>1360</v>
      </c>
      <c r="K17" s="4">
        <v>22000</v>
      </c>
      <c r="L17" s="4">
        <v>22000</v>
      </c>
      <c r="M17" s="4" t="str">
        <v>actual</v>
      </c>
      <c r="N17" s="4" t="str">
        <v>-</v>
      </c>
      <c r="O17" s="756" t="str">
        <v xml:space="preserve"> U. Wisc. Madison</v>
      </c>
      <c r="P17" s="758" t="str">
        <v>In McMurdo</v>
      </c>
      <c r="Q17" s="237">
        <v>43867</v>
      </c>
      <c r="R17" s="757" t="str">
        <v>-</v>
      </c>
      <c r="S17" s="757" t="str">
        <v>In McMurdo</v>
      </c>
      <c r="T17" s="758" t="str">
        <v>-</v>
      </c>
      <c r="U17" s="742" t="str">
        <v>In McMurdo</v>
      </c>
      <c r="V17" s="541" t="str">
        <v>In McMurdo</v>
      </c>
      <c r="W17" s="742" t="str">
        <v>in McMurdo</v>
      </c>
      <c r="X17" s="759" t="str">
        <v>in McMurdo</v>
      </c>
      <c r="Y17" s="316" t="str">
        <v>-</v>
      </c>
      <c r="Z17" s="316" t="str">
        <v>-</v>
      </c>
      <c r="AA17" s="316" t="str">
        <v>-</v>
      </c>
      <c r="AB17" s="316" t="str">
        <v>-</v>
      </c>
      <c r="AC17" s="316" t="str">
        <v>-</v>
      </c>
      <c r="AD17" s="760" t="str">
        <v>In McMurdo</v>
      </c>
      <c r="AE17" s="363" t="str">
        <v>FY23 intra</v>
      </c>
      <c r="AF17" s="363" t="str">
        <v>FY23 SPOT 2</v>
      </c>
      <c r="AG17" s="316" t="str">
        <v>-</v>
      </c>
      <c r="AH17" s="316">
        <v>0.5</v>
      </c>
      <c r="AI17" s="316" t="str">
        <v>-</v>
      </c>
      <c r="AJ17" s="316" t="str">
        <v>-</v>
      </c>
      <c r="AK17" s="53">
        <v>44927</v>
      </c>
      <c r="AL17" s="53">
        <v>45261</v>
      </c>
      <c r="AM17" s="316">
        <v>334</v>
      </c>
      <c r="AN17" s="316" t="str">
        <v>-</v>
      </c>
      <c r="AO17" s="316" t="str">
        <v>Yes</v>
      </c>
      <c r="AP17" s="316" t="str">
        <v>D. Gibson</v>
      </c>
      <c r="AQ17" s="53">
        <v>44475</v>
      </c>
      <c r="AR17" s="316" t="str">
        <v>I. McEwen</v>
      </c>
      <c r="AS17" s="53">
        <v>44475</v>
      </c>
      <c r="AT17" s="316" t="str">
        <v>Will require crane for onload/offload  - use belly band to support container sidewalls during lift.</v>
      </c>
    </row>
    <row r="18" spans="1:46" s="8" customFormat="1" ht="68" x14ac:dyDescent="0.2">
      <c r="A18" s="9">
        <v>1.2</v>
      </c>
      <c r="B18" s="38" t="str">
        <v>Drill</v>
      </c>
      <c r="C18" s="11" t="str">
        <v>Gen 3 - housed in 20' container</v>
      </c>
      <c r="D18" s="3" t="str">
        <v>Power generation unit 3 housed in 20' shipping container</v>
      </c>
      <c r="E18" s="4">
        <v>240</v>
      </c>
      <c r="F18" s="4">
        <v>96</v>
      </c>
      <c r="G18" s="4">
        <v>102</v>
      </c>
      <c r="H18" s="4">
        <v>1</v>
      </c>
      <c r="I18" s="4">
        <v>1360</v>
      </c>
      <c r="J18" s="4">
        <v>1360</v>
      </c>
      <c r="K18" s="4">
        <v>22000</v>
      </c>
      <c r="L18" s="4">
        <v>22000</v>
      </c>
      <c r="M18" s="4" t="str">
        <v>actual</v>
      </c>
      <c r="N18" s="4" t="str">
        <v>-</v>
      </c>
      <c r="O18" s="756" t="str">
        <v xml:space="preserve"> U. Wisc. Madison</v>
      </c>
      <c r="P18" s="758" t="str">
        <v>In McMurdo</v>
      </c>
      <c r="Q18" s="237">
        <v>43845</v>
      </c>
      <c r="R18" s="757" t="str">
        <v>-</v>
      </c>
      <c r="S18" s="757" t="str">
        <v>In McMurdo</v>
      </c>
      <c r="T18" s="758" t="str">
        <v>-</v>
      </c>
      <c r="U18" s="742" t="str">
        <v>In McMurdo</v>
      </c>
      <c r="V18" s="541" t="str">
        <v>In McMurdo</v>
      </c>
      <c r="W18" s="742" t="str">
        <v>in McMurdo</v>
      </c>
      <c r="X18" s="759" t="str">
        <v>in McMurdo</v>
      </c>
      <c r="Y18" s="316" t="str">
        <v>-</v>
      </c>
      <c r="Z18" s="316" t="str">
        <v>-</v>
      </c>
      <c r="AA18" s="316" t="str">
        <v>-</v>
      </c>
      <c r="AB18" s="316" t="str">
        <v>-</v>
      </c>
      <c r="AC18" s="316" t="str">
        <v>-</v>
      </c>
      <c r="AD18" s="760" t="str">
        <v>In McMurdo</v>
      </c>
      <c r="AE18" s="363" t="str">
        <v>FY23 intra</v>
      </c>
      <c r="AF18" s="363" t="str">
        <v>FY23 SPOT 2</v>
      </c>
      <c r="AG18" s="316" t="str">
        <v>-</v>
      </c>
      <c r="AH18" s="316">
        <v>0.5</v>
      </c>
      <c r="AI18" s="316" t="str">
        <v>-</v>
      </c>
      <c r="AJ18" s="316" t="str">
        <v>-</v>
      </c>
      <c r="AK18" s="53">
        <v>44927</v>
      </c>
      <c r="AL18" s="53">
        <v>45261</v>
      </c>
      <c r="AM18" s="316">
        <v>334</v>
      </c>
      <c r="AN18" s="316" t="str">
        <v>-</v>
      </c>
      <c r="AO18" s="316" t="str">
        <v>Yes</v>
      </c>
      <c r="AP18" s="316" t="str">
        <v>D. Gibson</v>
      </c>
      <c r="AQ18" s="53">
        <v>44475</v>
      </c>
      <c r="AR18" s="316" t="str">
        <v>I. McEwen</v>
      </c>
      <c r="AS18" s="53">
        <v>44475</v>
      </c>
      <c r="AT18" s="316" t="str">
        <v>Gens 2 &amp; 3 need to be tranferred from ISO2 sleds that are limited to use on improved surfaces only. Will require crane for onload/offload  - use belly band to support container sidewalls during lift.</v>
      </c>
    </row>
    <row r="19" spans="1:46" s="8" customFormat="1" ht="34" x14ac:dyDescent="0.2">
      <c r="A19" s="9">
        <v>1.2</v>
      </c>
      <c r="B19" s="38" t="str">
        <v>Drill</v>
      </c>
      <c r="C19" s="11" t="str">
        <v>Gen Discharge Hoods (bermed)</v>
      </c>
      <c r="D19" s="3" t="str">
        <v>Generator air discharge hoods , sheet metal, loose - stored on berm at SPOTSA</v>
      </c>
      <c r="E19" s="4">
        <v>108</v>
      </c>
      <c r="F19" s="4">
        <v>53</v>
      </c>
      <c r="G19" s="4">
        <v>60</v>
      </c>
      <c r="H19" s="4">
        <v>2</v>
      </c>
      <c r="I19" s="4">
        <v>199</v>
      </c>
      <c r="J19" s="4">
        <v>398</v>
      </c>
      <c r="K19" s="4">
        <v>330</v>
      </c>
      <c r="L19" s="4">
        <v>660</v>
      </c>
      <c r="M19" s="4" t="str">
        <v>actual</v>
      </c>
      <c r="N19" s="4" t="str">
        <v>-</v>
      </c>
      <c r="O19" s="756" t="str">
        <v xml:space="preserve"> U. Wisc. Madison</v>
      </c>
      <c r="P19" s="758" t="str">
        <v>In McMurdo</v>
      </c>
      <c r="Q19" s="237">
        <v>43814</v>
      </c>
      <c r="R19" s="757" t="str">
        <v>-</v>
      </c>
      <c r="S19" s="757" t="str">
        <v>In McMurdo</v>
      </c>
      <c r="T19" s="758" t="str">
        <v>-</v>
      </c>
      <c r="U19" s="742" t="str">
        <v>In McMurdo</v>
      </c>
      <c r="V19" s="541" t="str">
        <v>In McMurdo</v>
      </c>
      <c r="W19" s="742" t="str">
        <v>in McMurdo</v>
      </c>
      <c r="X19" s="759" t="str">
        <v>in McMurdo</v>
      </c>
      <c r="Y19" s="316" t="str">
        <v>-</v>
      </c>
      <c r="Z19" s="316" t="str">
        <v>-</v>
      </c>
      <c r="AA19" s="316" t="str">
        <v>-</v>
      </c>
      <c r="AB19" s="316" t="str">
        <v>-</v>
      </c>
      <c r="AC19" s="316" t="str">
        <v>-</v>
      </c>
      <c r="AD19" s="760" t="str">
        <v>In McMurdo</v>
      </c>
      <c r="AE19" s="363" t="str">
        <v>FY23 intra</v>
      </c>
      <c r="AF19" s="363" t="str">
        <v>FY23 SPOT 1</v>
      </c>
      <c r="AG19" s="316">
        <v>0.25</v>
      </c>
      <c r="AH19" s="316" t="str">
        <v>-</v>
      </c>
      <c r="AI19" s="316" t="str">
        <v>-</v>
      </c>
      <c r="AJ19" s="316" t="str">
        <v>-</v>
      </c>
      <c r="AK19" s="53">
        <v>44896</v>
      </c>
      <c r="AL19" s="53">
        <v>45272</v>
      </c>
      <c r="AM19" s="316">
        <v>376</v>
      </c>
      <c r="AN19" s="316" t="str">
        <v>-</v>
      </c>
      <c r="AO19" s="316" t="str">
        <v>No</v>
      </c>
      <c r="AP19" s="316" t="str">
        <v>D. Gibson</v>
      </c>
      <c r="AQ19" s="53">
        <v>44477</v>
      </c>
      <c r="AR19" s="316" t="str">
        <v>I. McEwen</v>
      </c>
      <c r="AS19" s="53">
        <v>44477</v>
      </c>
      <c r="AT19" s="316" t="str">
        <v>Testing/limited operation of Gens can be accomplished without hoods - Hoods required for the drill season</v>
      </c>
    </row>
    <row r="20" spans="1:46" s="8" customFormat="1" ht="17" x14ac:dyDescent="0.2">
      <c r="A20" s="275">
        <v>1.2</v>
      </c>
      <c r="B20" s="276" t="str">
        <v>Drill</v>
      </c>
      <c r="C20" s="277" t="str">
        <v>Firn Drill</v>
      </c>
      <c r="D20" s="278" t="str">
        <v xml:space="preserve">Bermed in McM - will require McM fork or crane support. </v>
      </c>
      <c r="E20" s="4">
        <v>264</v>
      </c>
      <c r="F20" s="4">
        <v>94</v>
      </c>
      <c r="G20" s="4">
        <v>97</v>
      </c>
      <c r="H20" s="4">
        <v>1</v>
      </c>
      <c r="I20" s="4">
        <v>1394</v>
      </c>
      <c r="J20" s="4">
        <v>1394</v>
      </c>
      <c r="K20" s="4">
        <v>12000</v>
      </c>
      <c r="L20" s="4">
        <v>12000</v>
      </c>
      <c r="M20" s="4" t="str">
        <v>actual</v>
      </c>
      <c r="N20" s="4" t="str">
        <v>-</v>
      </c>
      <c r="O20" s="756" t="str">
        <v xml:space="preserve"> U. Wisc. Madison</v>
      </c>
      <c r="P20" s="758" t="str">
        <v>In McMurdo</v>
      </c>
      <c r="Q20" s="237">
        <v>43845</v>
      </c>
      <c r="R20" s="757" t="str">
        <v>-</v>
      </c>
      <c r="S20" s="757" t="str">
        <v>In McMurdo</v>
      </c>
      <c r="T20" s="758" t="str">
        <v>-</v>
      </c>
      <c r="U20" s="742" t="str">
        <v>In McMurdo</v>
      </c>
      <c r="V20" s="541" t="str">
        <v>In McMurdo</v>
      </c>
      <c r="W20" s="742" t="str">
        <v>in McMurdo</v>
      </c>
      <c r="X20" s="759" t="str">
        <v>in McMurdo</v>
      </c>
      <c r="Y20" s="316" t="str">
        <v>-</v>
      </c>
      <c r="Z20" s="316" t="str">
        <v>-</v>
      </c>
      <c r="AA20" s="316" t="str">
        <v>-</v>
      </c>
      <c r="AB20" s="316" t="str">
        <v>-</v>
      </c>
      <c r="AC20" s="316" t="str">
        <v>-</v>
      </c>
      <c r="AD20" s="760" t="str">
        <v>In McMurdo</v>
      </c>
      <c r="AE20" s="363" t="str">
        <v>FY23 intra</v>
      </c>
      <c r="AF20" s="363" t="str">
        <v>FY23 SPOT 2</v>
      </c>
      <c r="AG20" s="316" t="str">
        <v>-</v>
      </c>
      <c r="AH20" s="316">
        <v>0.5</v>
      </c>
      <c r="AI20" s="316" t="str">
        <v>-</v>
      </c>
      <c r="AJ20" s="316" t="str">
        <v>-</v>
      </c>
      <c r="AK20" s="53">
        <v>44927</v>
      </c>
      <c r="AL20" s="53">
        <v>45275</v>
      </c>
      <c r="AM20" s="316">
        <v>348</v>
      </c>
      <c r="AN20" s="316" t="str">
        <v>-</v>
      </c>
      <c r="AO20" s="316" t="str">
        <v>Yes</v>
      </c>
      <c r="AP20" s="316" t="str">
        <v>D. Gibson</v>
      </c>
      <c r="AQ20" s="53">
        <v>44477</v>
      </c>
      <c r="AR20" s="316" t="str">
        <v>I. McEwen</v>
      </c>
      <c r="AS20" s="53">
        <v>44477</v>
      </c>
      <c r="AT20" s="316" t="str">
        <v>Bermed in McMurdo - SPOTSA</v>
      </c>
    </row>
    <row r="21" spans="1:46" s="8" customFormat="1" ht="34" x14ac:dyDescent="0.2">
      <c r="A21" s="9">
        <v>1.2</v>
      </c>
      <c r="B21" s="38" t="str">
        <v>Drill</v>
      </c>
      <c r="C21" s="11" t="str">
        <v>Weight stack and crates</v>
      </c>
      <c r="D21" s="3" t="str">
        <v>Bermed in McM - will require McM fork support. Drill head weight stack and remaining bermed crates at SPoTSA</v>
      </c>
      <c r="E21" s="4">
        <v>120</v>
      </c>
      <c r="F21" s="4">
        <v>48</v>
      </c>
      <c r="G21" s="4">
        <v>48</v>
      </c>
      <c r="H21" s="4">
        <v>1</v>
      </c>
      <c r="I21" s="4">
        <v>160</v>
      </c>
      <c r="J21" s="4">
        <v>160</v>
      </c>
      <c r="K21" s="4">
        <v>600</v>
      </c>
      <c r="L21" s="4">
        <v>600</v>
      </c>
      <c r="M21" s="4" t="str">
        <v>actual</v>
      </c>
      <c r="N21" s="4" t="str">
        <v>-</v>
      </c>
      <c r="O21" s="756" t="str">
        <v xml:space="preserve"> U. Wisc. Madison</v>
      </c>
      <c r="P21" s="758" t="str">
        <v>In McMurdo</v>
      </c>
      <c r="Q21" s="237">
        <v>43845</v>
      </c>
      <c r="R21" s="757" t="str">
        <v>-</v>
      </c>
      <c r="S21" s="757" t="str">
        <v>In McMurdo</v>
      </c>
      <c r="T21" s="758" t="str">
        <v>-</v>
      </c>
      <c r="U21" s="742" t="str">
        <v>In McMurdo</v>
      </c>
      <c r="V21" s="541" t="str">
        <v>In McMurdo</v>
      </c>
      <c r="W21" s="742" t="str">
        <v>in McMurdo</v>
      </c>
      <c r="X21" s="759" t="str">
        <v>in McMurdo</v>
      </c>
      <c r="Y21" s="316" t="str">
        <v>-</v>
      </c>
      <c r="Z21" s="316" t="str">
        <v>-</v>
      </c>
      <c r="AA21" s="316" t="str">
        <v>-</v>
      </c>
      <c r="AB21" s="316" t="str">
        <v>-</v>
      </c>
      <c r="AC21" s="316" t="str">
        <v>-</v>
      </c>
      <c r="AD21" s="760" t="str">
        <v>In McMurdo</v>
      </c>
      <c r="AE21" s="363" t="str">
        <v>FY23 intra</v>
      </c>
      <c r="AF21" s="363" t="str">
        <v>FY23 SPOT 1</v>
      </c>
      <c r="AG21" s="316">
        <v>0.25</v>
      </c>
      <c r="AH21" s="316" t="str">
        <v>-</v>
      </c>
      <c r="AI21" s="316" t="str">
        <v>-</v>
      </c>
      <c r="AJ21" s="316" t="str">
        <v>-</v>
      </c>
      <c r="AK21" s="53">
        <v>44896</v>
      </c>
      <c r="AL21" s="53">
        <v>45992</v>
      </c>
      <c r="AM21" s="316">
        <v>1096</v>
      </c>
      <c r="AN21" s="316" t="str">
        <v>-</v>
      </c>
      <c r="AO21" s="316" t="str">
        <v>No</v>
      </c>
      <c r="AP21" s="316" t="str">
        <v>D. Gibson</v>
      </c>
      <c r="AQ21" s="53">
        <v>44477</v>
      </c>
      <c r="AR21" s="316" t="str">
        <v>I. McEwen</v>
      </c>
      <c r="AS21" s="53">
        <v>44477</v>
      </c>
      <c r="AT21" s="316" t="str">
        <v>Bermed in McMurdo - SPOTSA on UNL flatrack</v>
      </c>
    </row>
    <row r="22" spans="1:46" s="8" customFormat="1" ht="51" x14ac:dyDescent="0.2">
      <c r="A22" s="9">
        <v>1.2</v>
      </c>
      <c r="B22" s="38" t="str">
        <v>Drill</v>
      </c>
      <c r="C22" s="11" t="str">
        <v>Fuel Tower</v>
      </c>
      <c r="D22" s="3" t="str">
        <v xml:space="preserve">Bermed in McM - will require McM fork or crane support. </v>
      </c>
      <c r="E22" s="4">
        <v>96</v>
      </c>
      <c r="F22" s="4">
        <v>72</v>
      </c>
      <c r="G22" s="4">
        <v>120</v>
      </c>
      <c r="H22" s="4">
        <v>1</v>
      </c>
      <c r="I22" s="4">
        <v>480</v>
      </c>
      <c r="J22" s="4">
        <v>480</v>
      </c>
      <c r="K22" s="4">
        <v>1500</v>
      </c>
      <c r="L22" s="4">
        <v>1500</v>
      </c>
      <c r="M22" s="4" t="str">
        <v>actual</v>
      </c>
      <c r="N22" s="4" t="str">
        <v>-</v>
      </c>
      <c r="O22" s="756" t="str">
        <v xml:space="preserve"> U. Wisc. Madison</v>
      </c>
      <c r="P22" s="758" t="str">
        <v>In McMurdo</v>
      </c>
      <c r="Q22" s="237">
        <v>43845</v>
      </c>
      <c r="R22" s="757" t="str">
        <v>-</v>
      </c>
      <c r="S22" s="757" t="str">
        <v>In McMurdo</v>
      </c>
      <c r="T22" s="758" t="str">
        <v>-</v>
      </c>
      <c r="U22" s="742" t="str">
        <v>In McMurdo</v>
      </c>
      <c r="V22" s="541" t="str">
        <v>In McMurdo</v>
      </c>
      <c r="W22" s="742" t="str">
        <v>in McMurdo</v>
      </c>
      <c r="X22" s="759" t="str">
        <v>in McMurdo</v>
      </c>
      <c r="Y22" s="316" t="str">
        <v>-</v>
      </c>
      <c r="Z22" s="316" t="str">
        <v>-</v>
      </c>
      <c r="AA22" s="316" t="str">
        <v>-</v>
      </c>
      <c r="AB22" s="316" t="str">
        <v>-</v>
      </c>
      <c r="AC22" s="316" t="str">
        <v>-</v>
      </c>
      <c r="AD22" s="760" t="str">
        <v>In McMurdo</v>
      </c>
      <c r="AE22" s="363" t="str">
        <v>FY23 intra</v>
      </c>
      <c r="AF22" s="363" t="str">
        <v>FY23 SPOT 1</v>
      </c>
      <c r="AG22" s="316">
        <v>0.25</v>
      </c>
      <c r="AH22" s="316" t="str">
        <v>-</v>
      </c>
      <c r="AI22" s="316" t="str">
        <v>-</v>
      </c>
      <c r="AJ22" s="316" t="str">
        <v>-</v>
      </c>
      <c r="AK22" s="53">
        <v>44896</v>
      </c>
      <c r="AL22" s="53">
        <v>45265</v>
      </c>
      <c r="AM22" s="316">
        <v>369</v>
      </c>
      <c r="AN22" s="316" t="str">
        <v>-</v>
      </c>
      <c r="AO22" s="316" t="str">
        <v>Yes</v>
      </c>
      <c r="AP22" s="316" t="str">
        <v>D. Gibson</v>
      </c>
      <c r="AQ22" s="53">
        <v>44477</v>
      </c>
      <c r="AR22" s="316" t="str">
        <v>I. McEwen</v>
      </c>
      <c r="AS22" s="53">
        <v>44477</v>
      </c>
      <c r="AT22" s="316" t="str">
        <v>Bermed in McMurdo - SPOTSA on UNL flatrack - overland shipment preferred due to complexities of air transport certification - can be laid on side once drained</v>
      </c>
    </row>
    <row r="23" spans="1:46" s="8" customFormat="1" ht="51" x14ac:dyDescent="0.2">
      <c r="A23" s="9">
        <v>1.2</v>
      </c>
      <c r="B23" s="38" t="str">
        <v>Drill</v>
      </c>
      <c r="C23" s="11" t="str">
        <v>HPU 2</v>
      </c>
      <c r="D23" s="3" t="str">
        <v>HPU 2 (University of Nebraska - Lincoln asset) - 40' container housing heating plant on ISO sled</v>
      </c>
      <c r="E23" s="4">
        <v>480</v>
      </c>
      <c r="F23" s="4">
        <v>96</v>
      </c>
      <c r="G23" s="4">
        <v>102</v>
      </c>
      <c r="H23" s="4">
        <v>1</v>
      </c>
      <c r="I23" s="4">
        <v>2720</v>
      </c>
      <c r="J23" s="4">
        <v>2720</v>
      </c>
      <c r="K23" s="4">
        <v>28000</v>
      </c>
      <c r="L23" s="4">
        <v>28000</v>
      </c>
      <c r="M23" s="4" t="str">
        <v>actual</v>
      </c>
      <c r="N23" s="4" t="str">
        <v>-</v>
      </c>
      <c r="O23" s="756" t="str">
        <v xml:space="preserve"> U. Wisc. Madison</v>
      </c>
      <c r="P23" s="758" t="str">
        <v>In McMurdo</v>
      </c>
      <c r="Q23" s="237">
        <v>43845</v>
      </c>
      <c r="R23" s="757" t="str">
        <v>-</v>
      </c>
      <c r="S23" s="757" t="str">
        <v>In McMurdo</v>
      </c>
      <c r="T23" s="758" t="str">
        <v>-</v>
      </c>
      <c r="U23" s="742" t="str">
        <v>In McMurdo</v>
      </c>
      <c r="V23" s="541" t="str">
        <v>In McMurdo</v>
      </c>
      <c r="W23" s="742" t="str">
        <v>in McMurdo</v>
      </c>
      <c r="X23" s="759" t="str">
        <v>in McMurdo</v>
      </c>
      <c r="Y23" s="316" t="str">
        <v>-</v>
      </c>
      <c r="Z23" s="316" t="str">
        <v>-</v>
      </c>
      <c r="AA23" s="316" t="str">
        <v>-</v>
      </c>
      <c r="AB23" s="316" t="str">
        <v>-</v>
      </c>
      <c r="AC23" s="316" t="str">
        <v>-</v>
      </c>
      <c r="AD23" s="760" t="str">
        <v>In McMurdo</v>
      </c>
      <c r="AE23" s="363" t="str">
        <v>FY23 intra</v>
      </c>
      <c r="AF23" s="363" t="str">
        <v>FY23 SPOT 3</v>
      </c>
      <c r="AG23" s="316" t="str">
        <v>-</v>
      </c>
      <c r="AH23" s="316" t="str">
        <v>-</v>
      </c>
      <c r="AI23" s="316">
        <v>1</v>
      </c>
      <c r="AJ23" s="316" t="str">
        <v>-</v>
      </c>
      <c r="AK23" s="53">
        <v>44958</v>
      </c>
      <c r="AL23" s="53">
        <v>45308</v>
      </c>
      <c r="AM23" s="316">
        <v>350</v>
      </c>
      <c r="AN23" s="316" t="str">
        <v>-</v>
      </c>
      <c r="AO23" s="316" t="str">
        <v>Yes</v>
      </c>
      <c r="AP23" s="316" t="str">
        <v>D. Gibson</v>
      </c>
      <c r="AQ23" s="53">
        <v>44477</v>
      </c>
      <c r="AR23" s="316" t="str">
        <v>I. McEwen</v>
      </c>
      <c r="AS23" s="53">
        <v>44477</v>
      </c>
      <c r="AT23" s="316" t="str">
        <v xml:space="preserve">HPU 1 integration with Rodwell system required before drill season on it's own sled which will require evaluation and repair - Stored at SPOTSA </v>
      </c>
    </row>
    <row r="24" spans="1:46" s="8" customFormat="1" ht="51" x14ac:dyDescent="0.2">
      <c r="A24" s="275">
        <v>1.2</v>
      </c>
      <c r="B24" s="276" t="str">
        <v>Drill</v>
      </c>
      <c r="C24" s="277" t="str">
        <v>8' Refit Container</v>
      </c>
      <c r="D24" s="278" t="str">
        <v>Priority refit materials including tools, flowmeter assemblies, motor drive installation kits, hardware, fittings, sensors, &amp; consumables</v>
      </c>
      <c r="E24" s="4">
        <v>96</v>
      </c>
      <c r="F24" s="4">
        <v>86</v>
      </c>
      <c r="G24" s="4">
        <v>96</v>
      </c>
      <c r="H24" s="4">
        <v>1</v>
      </c>
      <c r="I24" s="4">
        <v>459</v>
      </c>
      <c r="J24" s="4">
        <v>459</v>
      </c>
      <c r="K24" s="4">
        <v>5000</v>
      </c>
      <c r="L24" s="4">
        <v>5000</v>
      </c>
      <c r="M24" s="4" t="str">
        <v>actual</v>
      </c>
      <c r="N24" s="4" t="str">
        <v>-</v>
      </c>
      <c r="O24" s="756" t="str">
        <v xml:space="preserve"> U. Wisc. Madison</v>
      </c>
      <c r="P24" s="758" t="str">
        <v>In McMurdo</v>
      </c>
      <c r="Q24" s="237">
        <v>44503</v>
      </c>
      <c r="R24" s="757">
        <v>44516</v>
      </c>
      <c r="S24" s="757" t="str">
        <v>In McMurdo</v>
      </c>
      <c r="T24" s="758" t="str">
        <v xml:space="preserve"> Truck</v>
      </c>
      <c r="U24" s="742" t="str">
        <v>In McMurdo</v>
      </c>
      <c r="V24" s="541" t="str">
        <v>In McMurdo</v>
      </c>
      <c r="W24" s="742" t="str">
        <v>in McMurdo</v>
      </c>
      <c r="X24" s="759" t="str">
        <v>in McMurdo</v>
      </c>
      <c r="Y24" s="316" t="str">
        <v>-</v>
      </c>
      <c r="Z24" s="316" t="str">
        <v>-</v>
      </c>
      <c r="AA24" s="316" t="str">
        <v>-</v>
      </c>
      <c r="AB24" s="316" t="str">
        <v>-</v>
      </c>
      <c r="AC24" s="316" t="str">
        <v>-</v>
      </c>
      <c r="AD24" s="760" t="str">
        <v>In McMurdo</v>
      </c>
      <c r="AE24" s="363" t="str">
        <v>FY23 intra</v>
      </c>
      <c r="AF24" s="363" t="str">
        <v>FY23 SPOT 1</v>
      </c>
      <c r="AG24" s="316">
        <v>0.25</v>
      </c>
      <c r="AH24" s="316" t="str">
        <v>-</v>
      </c>
      <c r="AI24" s="316" t="str">
        <v>-</v>
      </c>
      <c r="AJ24" s="316" t="str">
        <v>-</v>
      </c>
      <c r="AK24" s="53">
        <v>44896</v>
      </c>
      <c r="AL24" s="53">
        <v>45244</v>
      </c>
      <c r="AM24" s="316">
        <v>348</v>
      </c>
      <c r="AN24" s="316">
        <v>728</v>
      </c>
      <c r="AO24" s="316" t="str">
        <v>Yes</v>
      </c>
      <c r="AP24" s="316" t="str">
        <v>D. Gibson</v>
      </c>
      <c r="AQ24" s="53">
        <v>44477</v>
      </c>
      <c r="AR24" s="316" t="str">
        <v>I. McEwen</v>
      </c>
      <c r="AS24" s="53">
        <v>44477</v>
      </c>
      <c r="AT24" s="316" t="str">
        <v xml:space="preserve">8' container moves with contents by LC130 or is broken down for movement by Basler. Packing in progress. </v>
      </c>
    </row>
    <row r="25" spans="1:46" s="8" customFormat="1" ht="51" x14ac:dyDescent="0.2">
      <c r="A25" s="9">
        <v>1.2</v>
      </c>
      <c r="B25" s="38" t="str">
        <v>Drill</v>
      </c>
      <c r="C25" s="11" t="str">
        <v>20' Refit Container A</v>
      </c>
      <c r="D25" s="3" t="str">
        <v>Refit materials incl. submersible pumps, hardware, filtration components, fall arrest towers, tools, hose crimper and camp hose (2 spools 348 cf/4990 lbs each)</v>
      </c>
      <c r="E25" s="4">
        <v>240</v>
      </c>
      <c r="F25" s="4">
        <v>96</v>
      </c>
      <c r="G25" s="4">
        <v>102</v>
      </c>
      <c r="H25" s="4">
        <v>1</v>
      </c>
      <c r="I25" s="4">
        <v>1360</v>
      </c>
      <c r="J25" s="4">
        <v>1360</v>
      </c>
      <c r="K25" s="4">
        <v>17320</v>
      </c>
      <c r="L25" s="4">
        <v>17320</v>
      </c>
      <c r="M25" s="4" t="str">
        <v>actual</v>
      </c>
      <c r="N25" s="4" t="str">
        <v>-</v>
      </c>
      <c r="O25" s="756" t="str">
        <v xml:space="preserve"> U. Wisc. Madison</v>
      </c>
      <c r="P25" s="758" t="str">
        <v>In McMurdo</v>
      </c>
      <c r="Q25" s="237">
        <v>44513</v>
      </c>
      <c r="R25" s="757">
        <v>44516</v>
      </c>
      <c r="S25" s="757" t="str">
        <v>In McMurdo</v>
      </c>
      <c r="T25" s="758" t="str">
        <v xml:space="preserve"> Truck</v>
      </c>
      <c r="U25" s="742" t="str">
        <v>In McMurdo</v>
      </c>
      <c r="V25" s="541" t="str">
        <v>In McMurdo</v>
      </c>
      <c r="W25" s="742" t="str">
        <v>in McMurdo</v>
      </c>
      <c r="X25" s="759" t="str">
        <v>in McMurdo</v>
      </c>
      <c r="Y25" s="316" t="str">
        <v>-</v>
      </c>
      <c r="Z25" s="316" t="str">
        <v>-</v>
      </c>
      <c r="AA25" s="316" t="str">
        <v>-</v>
      </c>
      <c r="AB25" s="316" t="str">
        <v>-</v>
      </c>
      <c r="AC25" s="316" t="str">
        <v>-</v>
      </c>
      <c r="AD25" s="760" t="str">
        <v>In McMurdo</v>
      </c>
      <c r="AE25" s="363" t="str">
        <v>FY23 intra</v>
      </c>
      <c r="AF25" s="363" t="str">
        <v>FY23 SPOT 2</v>
      </c>
      <c r="AG25" s="316" t="str">
        <v>-</v>
      </c>
      <c r="AH25" s="316">
        <v>0.5</v>
      </c>
      <c r="AI25" s="316" t="str">
        <v>-</v>
      </c>
      <c r="AJ25" s="316" t="str">
        <v>-</v>
      </c>
      <c r="AK25" s="53">
        <v>44927</v>
      </c>
      <c r="AL25" s="53">
        <v>45244</v>
      </c>
      <c r="AM25" s="316">
        <v>317</v>
      </c>
      <c r="AN25" s="316">
        <v>728</v>
      </c>
      <c r="AO25" s="316" t="str">
        <v>Yes</v>
      </c>
      <c r="AP25" s="316" t="str">
        <v>D. Gibson</v>
      </c>
      <c r="AQ25" s="53">
        <v>44477</v>
      </c>
      <c r="AR25" s="316" t="str">
        <v>I. McEwen</v>
      </c>
      <c r="AS25" s="53">
        <v>44477</v>
      </c>
      <c r="AT25" s="316" t="str">
        <v xml:space="preserve">For air shipment container contents will need to be unloaded and palletized. Container procurement delayed by shortage. Packing in progress. </v>
      </c>
    </row>
    <row r="26" spans="1:46" s="8" customFormat="1" ht="68" x14ac:dyDescent="0.2">
      <c r="A26" s="9">
        <v>1.2</v>
      </c>
      <c r="B26" s="38" t="str">
        <v>Drill</v>
      </c>
      <c r="C26" s="11" t="str">
        <v>20' Refit Container B</v>
      </c>
      <c r="D26" s="3" t="str">
        <v>Bulky materials incl. cable trays, vertical turbine pumps, vertical turbine pump motors, ladders, water tank doghouse/railing materials, 287 forks, generator parts, TU20 shaft, &amp; drill weight stack</v>
      </c>
      <c r="E26" s="4">
        <v>240</v>
      </c>
      <c r="F26" s="4">
        <v>96</v>
      </c>
      <c r="G26" s="4">
        <v>102</v>
      </c>
      <c r="H26" s="4">
        <v>1</v>
      </c>
      <c r="I26" s="4">
        <v>1360</v>
      </c>
      <c r="J26" s="4">
        <v>1360</v>
      </c>
      <c r="K26" s="4">
        <v>14280</v>
      </c>
      <c r="L26" s="4">
        <v>14280</v>
      </c>
      <c r="M26" s="4" t="str">
        <v>actual</v>
      </c>
      <c r="N26" s="4" t="str">
        <v>-</v>
      </c>
      <c r="O26" s="756" t="str">
        <v xml:space="preserve"> U. Wisc. Madison</v>
      </c>
      <c r="P26" s="758" t="str">
        <v>In McMurdo</v>
      </c>
      <c r="Q26" s="237">
        <v>44502</v>
      </c>
      <c r="R26" s="757">
        <v>44502</v>
      </c>
      <c r="S26" s="757" t="str">
        <v>In McMurdo</v>
      </c>
      <c r="T26" s="758" t="str">
        <v>Truck</v>
      </c>
      <c r="U26" s="742" t="str">
        <v>In McMurdo</v>
      </c>
      <c r="V26" s="541" t="str">
        <v>In McMurdo</v>
      </c>
      <c r="W26" s="742" t="str">
        <v>in McMurdo</v>
      </c>
      <c r="X26" s="759" t="str">
        <v>in McMurdo</v>
      </c>
      <c r="Y26" s="316" t="str">
        <v>-</v>
      </c>
      <c r="Z26" s="316" t="str">
        <v>-</v>
      </c>
      <c r="AA26" s="316" t="str">
        <v>-</v>
      </c>
      <c r="AB26" s="316" t="str">
        <v>-</v>
      </c>
      <c r="AC26" s="316" t="str">
        <v>-</v>
      </c>
      <c r="AD26" s="760" t="str">
        <v>In McMurdo</v>
      </c>
      <c r="AE26" s="363" t="str">
        <v>FY23 intra</v>
      </c>
      <c r="AF26" s="363" t="str">
        <v>FY23 SPOT 2</v>
      </c>
      <c r="AG26" s="316" t="str">
        <v>-</v>
      </c>
      <c r="AH26" s="316">
        <v>0.5</v>
      </c>
      <c r="AI26" s="316" t="str">
        <v>-</v>
      </c>
      <c r="AJ26" s="316" t="str">
        <v>-</v>
      </c>
      <c r="AK26" s="53">
        <v>44927</v>
      </c>
      <c r="AL26" s="53">
        <v>45275</v>
      </c>
      <c r="AM26" s="316">
        <v>348</v>
      </c>
      <c r="AN26" s="316">
        <v>773</v>
      </c>
      <c r="AO26" s="316" t="str">
        <v>Yes</v>
      </c>
      <c r="AP26" s="316" t="str">
        <v>D. Gibson</v>
      </c>
      <c r="AQ26" s="53">
        <v>44477</v>
      </c>
      <c r="AR26" s="316" t="str">
        <v>I. McEwen</v>
      </c>
      <c r="AS26" s="53">
        <v>44477</v>
      </c>
      <c r="AT26" s="316" t="str">
        <v>For air shipment container contents will need to be unloaded and palletized</v>
      </c>
    </row>
    <row r="27" spans="1:46" s="8" customFormat="1" ht="68" x14ac:dyDescent="0.2">
      <c r="A27" s="9">
        <v>1.2</v>
      </c>
      <c r="B27" s="38" t="str">
        <v>Drill</v>
      </c>
      <c r="C27" s="11" t="str">
        <v>ARA Trailer</v>
      </c>
      <c r="D27" s="3" t="str">
        <v>Enclosed trailer on skis housing 35kw generator</v>
      </c>
      <c r="E27" s="4">
        <v>192</v>
      </c>
      <c r="F27" s="4">
        <v>96</v>
      </c>
      <c r="G27" s="4">
        <v>88</v>
      </c>
      <c r="H27" s="4">
        <v>1</v>
      </c>
      <c r="I27" s="4">
        <v>939</v>
      </c>
      <c r="J27" s="4">
        <v>939</v>
      </c>
      <c r="K27" s="4">
        <v>5400</v>
      </c>
      <c r="L27" s="4">
        <v>5400</v>
      </c>
      <c r="M27" s="4" t="str">
        <v>actual</v>
      </c>
      <c r="N27" s="4" t="str">
        <v>FLAMMABLE liquid power engine</v>
      </c>
      <c r="O27" s="756" t="str">
        <v xml:space="preserve"> U. Wisc. Madison</v>
      </c>
      <c r="P27" s="758" t="str">
        <v>In McMurdo</v>
      </c>
      <c r="Q27" s="237">
        <v>44502</v>
      </c>
      <c r="R27" s="757">
        <v>44502</v>
      </c>
      <c r="S27" s="757" t="str">
        <v>In McMurdo</v>
      </c>
      <c r="T27" s="758" t="str">
        <v xml:space="preserve"> Truck</v>
      </c>
      <c r="U27" s="742" t="str">
        <v>In McMurdo</v>
      </c>
      <c r="V27" s="541" t="str">
        <v>In McMurdo</v>
      </c>
      <c r="W27" s="742" t="str">
        <v>in McMurdo</v>
      </c>
      <c r="X27" s="759" t="str">
        <v>in McMurdo</v>
      </c>
      <c r="Y27" s="316" t="str">
        <v>-</v>
      </c>
      <c r="Z27" s="316" t="str">
        <v>-</v>
      </c>
      <c r="AA27" s="316" t="str">
        <v>-</v>
      </c>
      <c r="AB27" s="316" t="str">
        <v>-</v>
      </c>
      <c r="AC27" s="316" t="str">
        <v>-</v>
      </c>
      <c r="AD27" s="760" t="str">
        <v>In McMurdo</v>
      </c>
      <c r="AE27" s="363" t="str">
        <v>FY23 intra</v>
      </c>
      <c r="AF27" s="363" t="str">
        <v>FY23 SPOT 1</v>
      </c>
      <c r="AG27" s="316">
        <v>0.5</v>
      </c>
      <c r="AH27" s="316" t="str">
        <v>-</v>
      </c>
      <c r="AI27" s="316" t="str">
        <v>-</v>
      </c>
      <c r="AJ27" s="316" t="str">
        <v>-</v>
      </c>
      <c r="AK27" s="53">
        <v>44896</v>
      </c>
      <c r="AL27" s="53">
        <v>45267</v>
      </c>
      <c r="AM27" s="316">
        <v>371</v>
      </c>
      <c r="AN27" s="316">
        <v>765</v>
      </c>
      <c r="AO27" s="316" t="str">
        <v>Yes*</v>
      </c>
      <c r="AP27" s="316" t="str">
        <v>D. Gibson</v>
      </c>
      <c r="AQ27" s="53">
        <v>44477</v>
      </c>
      <c r="AR27" s="316" t="str">
        <v>I. McEwen</v>
      </c>
      <c r="AS27" s="53">
        <v>44477</v>
      </c>
      <c r="AT27" s="316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</row>
    <row r="28" spans="1:46" s="8" customFormat="1" ht="34" x14ac:dyDescent="0.2">
      <c r="A28" s="275">
        <v>1.2</v>
      </c>
      <c r="B28" s="276" t="str">
        <v>Drill</v>
      </c>
      <c r="C28" s="277" t="str">
        <v>Return Water Cable Reel (RWCR)</v>
      </c>
      <c r="D28" s="278" t="str">
        <v>Smaller reel - can fit in 20' container. Required onsite in FY23 for final integration and pre-drill activites</v>
      </c>
      <c r="E28" s="4">
        <v>112</v>
      </c>
      <c r="F28" s="4">
        <v>80</v>
      </c>
      <c r="G28" s="4">
        <v>80</v>
      </c>
      <c r="H28" s="4">
        <v>1</v>
      </c>
      <c r="I28" s="4">
        <v>415</v>
      </c>
      <c r="J28" s="4">
        <v>415</v>
      </c>
      <c r="K28" s="4">
        <v>4000</v>
      </c>
      <c r="L28" s="4">
        <v>4000</v>
      </c>
      <c r="M28" s="4" t="str">
        <v>actual</v>
      </c>
      <c r="N28" s="4" t="str">
        <v>-</v>
      </c>
      <c r="O28" s="756" t="str">
        <v xml:space="preserve"> U. Wisc. Madison</v>
      </c>
      <c r="P28" s="758" t="str">
        <v>In McMurdo</v>
      </c>
      <c r="Q28" s="237">
        <v>44495</v>
      </c>
      <c r="R28" s="757">
        <v>44502</v>
      </c>
      <c r="S28" s="757" t="str">
        <v>In McMurdo</v>
      </c>
      <c r="T28" s="758" t="str">
        <v xml:space="preserve"> Truck</v>
      </c>
      <c r="U28" s="742" t="str">
        <v>In McMurdo</v>
      </c>
      <c r="V28" s="541" t="str">
        <v>In McMurdo</v>
      </c>
      <c r="W28" s="742" t="str">
        <v>in McMurdo</v>
      </c>
      <c r="X28" s="759" t="str">
        <v>in McMurdo</v>
      </c>
      <c r="Y28" s="316" t="str">
        <v>-</v>
      </c>
      <c r="Z28" s="316" t="str">
        <v>-</v>
      </c>
      <c r="AA28" s="316" t="str">
        <v>-</v>
      </c>
      <c r="AB28" s="316" t="str">
        <v>-</v>
      </c>
      <c r="AC28" s="316" t="str">
        <v>-</v>
      </c>
      <c r="AD28" s="760" t="str">
        <v>In McMurdo</v>
      </c>
      <c r="AE28" s="363" t="str">
        <v>FY23 intra</v>
      </c>
      <c r="AF28" s="363" t="str">
        <v>FY23 SPOT 2</v>
      </c>
      <c r="AG28" s="316" t="str">
        <v>-</v>
      </c>
      <c r="AH28" s="316">
        <v>0.25</v>
      </c>
      <c r="AI28" s="316" t="str">
        <v>-</v>
      </c>
      <c r="AJ28" s="316" t="str">
        <v>-</v>
      </c>
      <c r="AK28" s="53">
        <v>44927</v>
      </c>
      <c r="AL28" s="53">
        <v>45294</v>
      </c>
      <c r="AM28" s="316">
        <v>367</v>
      </c>
      <c r="AN28" s="316">
        <v>792</v>
      </c>
      <c r="AO28" s="316" t="str">
        <v>Yes</v>
      </c>
      <c r="AP28" s="316" t="str">
        <v>D. Gibson</v>
      </c>
      <c r="AQ28" s="53">
        <v>44477</v>
      </c>
      <c r="AR28" s="316" t="str">
        <v>I. McEwen</v>
      </c>
      <c r="AS28" s="53">
        <v>44477</v>
      </c>
      <c r="AT28" s="316" t="str">
        <v>Weight from Gen 1 shipment information see picture.</v>
      </c>
    </row>
    <row r="29" spans="1:46" s="8" customFormat="1" ht="34" x14ac:dyDescent="0.2">
      <c r="A29" s="9">
        <v>1.2</v>
      </c>
      <c r="B29" s="38" t="str">
        <v>Drill</v>
      </c>
      <c r="C29" s="11" t="str">
        <v>Main Cable Reel  (MCR)</v>
      </c>
      <c r="D29" s="3" t="str">
        <v xml:space="preserve">Required onsite in FY23 for final integration and pre-drill activites. Large cable reel - will require flat rack on vessel             </v>
      </c>
      <c r="E29" s="4">
        <v>140</v>
      </c>
      <c r="F29" s="4">
        <v>96</v>
      </c>
      <c r="G29" s="4">
        <v>95</v>
      </c>
      <c r="H29" s="4">
        <v>1</v>
      </c>
      <c r="I29" s="4">
        <v>739</v>
      </c>
      <c r="J29" s="4">
        <v>739</v>
      </c>
      <c r="K29" s="4">
        <v>17800</v>
      </c>
      <c r="L29" s="4">
        <v>17800</v>
      </c>
      <c r="M29" s="4" t="str">
        <v>actual</v>
      </c>
      <c r="N29" s="4" t="str">
        <v>-</v>
      </c>
      <c r="O29" s="756" t="str">
        <v xml:space="preserve"> U. Wisc. Madison</v>
      </c>
      <c r="P29" s="758" t="str">
        <v>In McMurdo</v>
      </c>
      <c r="Q29" s="237">
        <v>44508</v>
      </c>
      <c r="R29" s="757">
        <v>44516</v>
      </c>
      <c r="S29" s="757" t="str">
        <v>In McMurdo</v>
      </c>
      <c r="T29" s="758" t="str">
        <v xml:space="preserve"> Truck</v>
      </c>
      <c r="U29" s="742" t="str">
        <v>In McMurdo</v>
      </c>
      <c r="V29" s="541" t="str">
        <v>In McMurdo</v>
      </c>
      <c r="W29" s="742" t="str">
        <v>in McMurdo</v>
      </c>
      <c r="X29" s="759" t="str">
        <v>in McMurdo</v>
      </c>
      <c r="Y29" s="316" t="str">
        <v>-</v>
      </c>
      <c r="Z29" s="316" t="str">
        <v>-</v>
      </c>
      <c r="AA29" s="316" t="str">
        <v>-</v>
      </c>
      <c r="AB29" s="316" t="str">
        <v>-</v>
      </c>
      <c r="AC29" s="316" t="str">
        <v>-</v>
      </c>
      <c r="AD29" s="760" t="str">
        <v>In McMurdo</v>
      </c>
      <c r="AE29" s="363" t="str">
        <v>FY23 intra</v>
      </c>
      <c r="AF29" s="363" t="str">
        <v>FY23 SPOT 2</v>
      </c>
      <c r="AG29" s="316" t="str">
        <v>-</v>
      </c>
      <c r="AH29" s="316">
        <v>0.25</v>
      </c>
      <c r="AI29" s="316" t="str">
        <v>-</v>
      </c>
      <c r="AJ29" s="316" t="str">
        <v>-</v>
      </c>
      <c r="AK29" s="53">
        <v>44927</v>
      </c>
      <c r="AL29" s="53">
        <v>45294</v>
      </c>
      <c r="AM29" s="316">
        <v>367</v>
      </c>
      <c r="AN29" s="316">
        <v>778</v>
      </c>
      <c r="AO29" s="316" t="str">
        <v>Yes</v>
      </c>
      <c r="AP29" s="316" t="str">
        <v>D. Gibson</v>
      </c>
      <c r="AQ29" s="53">
        <v>44477</v>
      </c>
      <c r="AR29" s="316" t="str">
        <v>I. McEwen</v>
      </c>
      <c r="AS29" s="53">
        <v>44477</v>
      </c>
      <c r="AT29" s="316" t="str">
        <v xml:space="preserve">Required onsite in FS Y1 for final integration and pre-drill activities. Shrink wrap contractor rescheduled for later date. </v>
      </c>
    </row>
    <row r="30" spans="1:46" s="8" customFormat="1" ht="51" x14ac:dyDescent="0.2">
      <c r="A30" s="9">
        <v>1.2</v>
      </c>
      <c r="B30" s="38" t="str">
        <v>Drill</v>
      </c>
      <c r="C30" s="11" t="str">
        <v xml:space="preserve">Container Ski Stack (comprised of 5 sleds) </v>
      </c>
      <c r="D30" s="3" t="str">
        <v>Five sets of aluminum skis for 20' containers - stacked. Aluminum skis for drill containers. Required onsite for local movement of Gens and PDM.</v>
      </c>
      <c r="E30" s="4">
        <v>240</v>
      </c>
      <c r="F30" s="4">
        <v>96</v>
      </c>
      <c r="G30" s="4">
        <v>96</v>
      </c>
      <c r="H30" s="4">
        <v>1</v>
      </c>
      <c r="I30" s="4">
        <v>1280</v>
      </c>
      <c r="J30" s="4">
        <v>1280</v>
      </c>
      <c r="K30" s="4">
        <v>4255</v>
      </c>
      <c r="L30" s="4">
        <v>4255</v>
      </c>
      <c r="M30" s="4" t="str">
        <v>actual</v>
      </c>
      <c r="N30" s="4" t="str">
        <v>-</v>
      </c>
      <c r="O30" s="756" t="str">
        <v xml:space="preserve"> U. Wisc. Madison</v>
      </c>
      <c r="P30" s="758" t="str">
        <v>In McMurdo</v>
      </c>
      <c r="Q30" s="237">
        <v>44193</v>
      </c>
      <c r="R30" s="757">
        <v>44211</v>
      </c>
      <c r="S30" s="757" t="str">
        <v>In McMurdo</v>
      </c>
      <c r="T30" s="758" t="str">
        <v>Truck</v>
      </c>
      <c r="U30" s="742" t="str">
        <v>In McMurdo</v>
      </c>
      <c r="V30" s="541" t="str">
        <v>In McMurdo</v>
      </c>
      <c r="W30" s="742" t="str">
        <v>in McMurdo</v>
      </c>
      <c r="X30" s="759" t="str">
        <v>in McMurdo</v>
      </c>
      <c r="Y30" s="316" t="str">
        <v>-</v>
      </c>
      <c r="Z30" s="316" t="str">
        <v>-</v>
      </c>
      <c r="AA30" s="316" t="str">
        <v>-</v>
      </c>
      <c r="AB30" s="316" t="str">
        <v>-</v>
      </c>
      <c r="AC30" s="316" t="str">
        <v>-</v>
      </c>
      <c r="AD30" s="760" t="str">
        <v>In McMurdo</v>
      </c>
      <c r="AE30" s="363" t="str">
        <v>FY23 intra</v>
      </c>
      <c r="AF30" s="363" t="str">
        <v>FY23 SPOT 1</v>
      </c>
      <c r="AG30" s="316">
        <v>0.5</v>
      </c>
      <c r="AH30" s="316" t="str">
        <v>-</v>
      </c>
      <c r="AI30" s="316" t="str">
        <v>-</v>
      </c>
      <c r="AJ30" s="316" t="str">
        <v>-</v>
      </c>
      <c r="AK30" s="53">
        <v>44896</v>
      </c>
      <c r="AL30" s="53">
        <v>44927</v>
      </c>
      <c r="AM30" s="316">
        <v>31</v>
      </c>
      <c r="AN30" s="316">
        <v>716</v>
      </c>
      <c r="AO30" s="316" t="str">
        <v>No*</v>
      </c>
      <c r="AP30" s="316" t="str">
        <v>D. Gibson</v>
      </c>
      <c r="AQ30" s="53">
        <v>44477</v>
      </c>
      <c r="AR30" s="316" t="str">
        <v>I. McEwen</v>
      </c>
      <c r="AS30" s="53">
        <v>44477</v>
      </c>
      <c r="AT30" s="316" t="str">
        <v>*While this shipment is not on the critical path additional ASC crane support will be required to overcome delayed arrival or sleds furnished from the South Pole inventory</v>
      </c>
    </row>
    <row r="31" spans="1:46" s="8" customFormat="1" ht="34" x14ac:dyDescent="0.2">
      <c r="A31" s="9">
        <v>1.2</v>
      </c>
      <c r="B31" s="38" t="str">
        <v>Drill</v>
      </c>
      <c r="C31" s="11" t="str">
        <v xml:space="preserve">Generator Intake Hood </v>
      </c>
      <c r="D31" s="3" t="str">
        <v>Light weight large volume sheet metal stacks for generator ventilation</v>
      </c>
      <c r="E31" s="4">
        <v>174</v>
      </c>
      <c r="F31" s="4">
        <v>53</v>
      </c>
      <c r="G31" s="4">
        <v>96</v>
      </c>
      <c r="H31" s="4">
        <v>3</v>
      </c>
      <c r="I31" s="4">
        <v>513</v>
      </c>
      <c r="J31" s="4">
        <v>1539</v>
      </c>
      <c r="K31" s="4">
        <v>587</v>
      </c>
      <c r="L31" s="4">
        <v>1761</v>
      </c>
      <c r="M31" s="4" t="str">
        <v>actual</v>
      </c>
      <c r="N31" s="4" t="str">
        <v>-</v>
      </c>
      <c r="O31" s="756" t="str">
        <v xml:space="preserve"> U. Wisc. Madison</v>
      </c>
      <c r="P31" s="758" t="str">
        <v>In McMurdo</v>
      </c>
      <c r="Q31" s="237">
        <v>44112</v>
      </c>
      <c r="R31" s="757">
        <v>44159</v>
      </c>
      <c r="S31" s="757" t="str">
        <v>In McMurdo</v>
      </c>
      <c r="T31" s="758" t="str">
        <v>Truck</v>
      </c>
      <c r="U31" s="742" t="str">
        <v>In McMurdo</v>
      </c>
      <c r="V31" s="541" t="str">
        <v>In McMurdo</v>
      </c>
      <c r="W31" s="742" t="str">
        <v>in McMurdo</v>
      </c>
      <c r="X31" s="759" t="str">
        <v>in McMurdo</v>
      </c>
      <c r="Y31" s="316" t="str">
        <v>-</v>
      </c>
      <c r="Z31" s="316" t="str">
        <v>-</v>
      </c>
      <c r="AA31" s="316" t="str">
        <v>-</v>
      </c>
      <c r="AB31" s="316" t="str">
        <v>-</v>
      </c>
      <c r="AC31" s="316" t="str">
        <v>-</v>
      </c>
      <c r="AD31" s="760" t="str">
        <v>In McMurdo</v>
      </c>
      <c r="AE31" s="363" t="str">
        <v>FY23 intra</v>
      </c>
      <c r="AF31" s="363" t="str">
        <v>FY23 SPOT 1</v>
      </c>
      <c r="AG31" s="316">
        <v>0.5</v>
      </c>
      <c r="AH31" s="316" t="str">
        <v>-</v>
      </c>
      <c r="AI31" s="316" t="str">
        <v>-</v>
      </c>
      <c r="AJ31" s="316" t="str">
        <v>-</v>
      </c>
      <c r="AK31" s="53">
        <v>44896</v>
      </c>
      <c r="AL31" s="53">
        <v>45272</v>
      </c>
      <c r="AM31" s="316">
        <v>376</v>
      </c>
      <c r="AN31" s="316">
        <v>1113</v>
      </c>
      <c r="AO31" s="316" t="str">
        <v>Yes</v>
      </c>
      <c r="AP31" s="316" t="str">
        <v>D. Gibson</v>
      </c>
      <c r="AQ31" s="53">
        <v>44477</v>
      </c>
      <c r="AR31" s="316" t="str">
        <v>I. McEwen</v>
      </c>
      <c r="AS31" s="53">
        <v>44477</v>
      </c>
      <c r="AT31" s="316" t="str">
        <v>-</v>
      </c>
    </row>
    <row r="32" spans="1:46" s="8" customFormat="1" ht="34" x14ac:dyDescent="0.2">
      <c r="A32" s="275">
        <v>1.2</v>
      </c>
      <c r="B32" s="276" t="str">
        <v>Drill</v>
      </c>
      <c r="C32" s="277" t="str">
        <v xml:space="preserve">Generator Discharge Hoods </v>
      </c>
      <c r="D32" s="278" t="str">
        <v>Light weight large volume sheet metal stacks for generator ventilation</v>
      </c>
      <c r="E32" s="4">
        <v>108</v>
      </c>
      <c r="F32" s="4">
        <v>53</v>
      </c>
      <c r="G32" s="4">
        <v>60</v>
      </c>
      <c r="H32" s="4">
        <v>2</v>
      </c>
      <c r="I32" s="4">
        <v>199</v>
      </c>
      <c r="J32" s="4">
        <v>398</v>
      </c>
      <c r="K32" s="4">
        <v>1210</v>
      </c>
      <c r="L32" s="4">
        <v>2420</v>
      </c>
      <c r="M32" s="4" t="str">
        <v>actual</v>
      </c>
      <c r="N32" s="4" t="str">
        <v>-</v>
      </c>
      <c r="O32" s="756" t="str">
        <v xml:space="preserve"> U. Wisc. Madison</v>
      </c>
      <c r="P32" s="758" t="str">
        <v>In McMurdo</v>
      </c>
      <c r="Q32" s="237">
        <v>44112</v>
      </c>
      <c r="R32" s="757">
        <v>44159</v>
      </c>
      <c r="S32" s="757" t="str">
        <v>In McMurdo</v>
      </c>
      <c r="T32" s="758" t="str">
        <v>Truck</v>
      </c>
      <c r="U32" s="742" t="str">
        <v>In McMurdo</v>
      </c>
      <c r="V32" s="541" t="str">
        <v>In McMurdo</v>
      </c>
      <c r="W32" s="742" t="str">
        <v>in McMurdo</v>
      </c>
      <c r="X32" s="759" t="str">
        <v>in McMurdo</v>
      </c>
      <c r="Y32" s="316" t="str">
        <v>-</v>
      </c>
      <c r="Z32" s="316" t="str">
        <v>-</v>
      </c>
      <c r="AA32" s="316" t="str">
        <v>-</v>
      </c>
      <c r="AB32" s="316" t="str">
        <v>-</v>
      </c>
      <c r="AC32" s="316" t="str">
        <v>-</v>
      </c>
      <c r="AD32" s="760" t="str">
        <v>In McMurdo</v>
      </c>
      <c r="AE32" s="363" t="str">
        <v>FY23 intra</v>
      </c>
      <c r="AF32" s="363" t="str">
        <v>FY23 SPOT 1</v>
      </c>
      <c r="AG32" s="316">
        <v>0.5</v>
      </c>
      <c r="AH32" s="316" t="str">
        <v>-</v>
      </c>
      <c r="AI32" s="316" t="str">
        <v>-</v>
      </c>
      <c r="AJ32" s="316" t="str">
        <v>-</v>
      </c>
      <c r="AK32" s="53">
        <v>44896</v>
      </c>
      <c r="AL32" s="53">
        <v>45272</v>
      </c>
      <c r="AM32" s="316">
        <v>376</v>
      </c>
      <c r="AN32" s="316">
        <v>1113</v>
      </c>
      <c r="AO32" s="316" t="str">
        <v>Yes</v>
      </c>
      <c r="AP32" s="316" t="str">
        <v>D. Gibson</v>
      </c>
      <c r="AQ32" s="53">
        <v>44477</v>
      </c>
      <c r="AR32" s="316" t="str">
        <v>I. McEwen</v>
      </c>
      <c r="AS32" s="53">
        <v>44477</v>
      </c>
      <c r="AT32" s="316" t="str">
        <v>-</v>
      </c>
    </row>
    <row r="33" spans="1:46" s="8" customFormat="1" ht="34" x14ac:dyDescent="0.2">
      <c r="A33" s="9">
        <v>1.2</v>
      </c>
      <c r="B33" s="38" t="str">
        <v>Drill</v>
      </c>
      <c r="C33" s="11" t="str">
        <v>Drill Hose</v>
      </c>
      <c r="D33" s="3" t="str">
        <v>Drill hose - 9 Spools - 348 cf / 3532 lbs each - Shipped from Italy - Do Not Deep Freeze</v>
      </c>
      <c r="E33" s="4">
        <v>92</v>
      </c>
      <c r="F33" s="4">
        <v>92</v>
      </c>
      <c r="G33" s="4">
        <v>70.5</v>
      </c>
      <c r="H33" s="4">
        <v>9</v>
      </c>
      <c r="I33" s="4">
        <v>346</v>
      </c>
      <c r="J33" s="4">
        <v>3114</v>
      </c>
      <c r="K33" s="4">
        <v>3532</v>
      </c>
      <c r="L33" s="4">
        <v>31788</v>
      </c>
      <c r="M33" s="4" t="str">
        <v>actual</v>
      </c>
      <c r="N33" s="4" t="str">
        <v>DNDF [-53C]</v>
      </c>
      <c r="O33" s="756" t="str">
        <v xml:space="preserve"> U. Wisc. Madison</v>
      </c>
      <c r="P33" s="758" t="str">
        <v>In McMurdo</v>
      </c>
      <c r="Q33" s="237">
        <v>44041</v>
      </c>
      <c r="R33" s="757">
        <v>44058</v>
      </c>
      <c r="S33" s="757" t="str">
        <v>In McMurdo</v>
      </c>
      <c r="T33" s="758" t="str">
        <v>Truck</v>
      </c>
      <c r="U33" s="742" t="str">
        <v>In McMurdo</v>
      </c>
      <c r="V33" s="541" t="str">
        <v>In McMurdo</v>
      </c>
      <c r="W33" s="742" t="str">
        <v>in McMurdo</v>
      </c>
      <c r="X33" s="759" t="str">
        <v>in McMurdo</v>
      </c>
      <c r="Y33" s="316" t="str">
        <v>-</v>
      </c>
      <c r="Z33" s="316" t="str">
        <v>-</v>
      </c>
      <c r="AA33" s="316" t="str">
        <v>-</v>
      </c>
      <c r="AB33" s="316" t="str">
        <v>-</v>
      </c>
      <c r="AC33" s="316" t="str">
        <v>-</v>
      </c>
      <c r="AD33" s="760" t="str">
        <v>In McMurdo</v>
      </c>
      <c r="AE33" s="363" t="str">
        <v>FY25 intra</v>
      </c>
      <c r="AF33" s="363" t="str">
        <v>FY25 SPOT 1</v>
      </c>
      <c r="AG33" s="316">
        <v>1.8</v>
      </c>
      <c r="AH33" s="316" t="str">
        <v>-</v>
      </c>
      <c r="AI33" s="316" t="str">
        <v>-</v>
      </c>
      <c r="AJ33" s="316" t="str">
        <v>-</v>
      </c>
      <c r="AK33" s="53">
        <v>45627</v>
      </c>
      <c r="AL33" s="53">
        <v>45641</v>
      </c>
      <c r="AM33" s="316">
        <v>14</v>
      </c>
      <c r="AN33" s="316">
        <v>1583</v>
      </c>
      <c r="AO33" s="316" t="str">
        <v>Yes</v>
      </c>
      <c r="AP33" s="316" t="str">
        <v>D. Gibson</v>
      </c>
      <c r="AQ33" s="53">
        <v>44477</v>
      </c>
      <c r="AR33" s="316" t="str">
        <v>I. McEwen</v>
      </c>
      <c r="AS33" s="53">
        <v>44630</v>
      </c>
      <c r="AT33" s="316" t="str">
        <v>Hose to be installed on Main Supply Hose Reel upon arrival at Pole</v>
      </c>
    </row>
    <row r="34" spans="1:46" s="8" customFormat="1" ht="34" x14ac:dyDescent="0.2">
      <c r="A34" s="9">
        <v>1.2</v>
      </c>
      <c r="B34" s="38" t="str">
        <v>Drill</v>
      </c>
      <c r="C34" s="11" t="str">
        <v>Drill Hose</v>
      </c>
      <c r="D34" s="3" t="str">
        <v>Drill hose - 3 Spools - 348 cf / 5001 lbs each - Shipped from PSL - Do Not Deep Freeze</v>
      </c>
      <c r="E34" s="4">
        <v>92</v>
      </c>
      <c r="F34" s="4">
        <v>92</v>
      </c>
      <c r="G34" s="4">
        <v>70.5</v>
      </c>
      <c r="H34" s="4">
        <v>3</v>
      </c>
      <c r="I34" s="4">
        <v>346</v>
      </c>
      <c r="J34" s="4">
        <v>1038</v>
      </c>
      <c r="K34" s="4">
        <v>5001</v>
      </c>
      <c r="L34" s="4">
        <v>15003</v>
      </c>
      <c r="M34" s="4" t="str">
        <v>actual</v>
      </c>
      <c r="N34" s="4" t="str">
        <v>DNDF [-53C]</v>
      </c>
      <c r="O34" s="756" t="str">
        <v xml:space="preserve"> U. Wisc. Madison</v>
      </c>
      <c r="P34" s="758" t="str">
        <v>In McMurdo</v>
      </c>
      <c r="Q34" s="237">
        <v>44154</v>
      </c>
      <c r="R34" s="757">
        <v>44211</v>
      </c>
      <c r="S34" s="757" t="str">
        <v>In McMurdo</v>
      </c>
      <c r="T34" s="758" t="str">
        <v>Truck</v>
      </c>
      <c r="U34" s="742" t="str">
        <v>In McMurdo</v>
      </c>
      <c r="V34" s="541" t="str">
        <v>In McMurdo</v>
      </c>
      <c r="W34" s="742" t="str">
        <v>in McMurdo</v>
      </c>
      <c r="X34" s="759" t="str">
        <v>in McMurdo</v>
      </c>
      <c r="Y34" s="316" t="str">
        <v>-</v>
      </c>
      <c r="Z34" s="316" t="str">
        <v>-</v>
      </c>
      <c r="AA34" s="316" t="str">
        <v>-</v>
      </c>
      <c r="AB34" s="316" t="str">
        <v>-</v>
      </c>
      <c r="AC34" s="316" t="str">
        <v>-</v>
      </c>
      <c r="AD34" s="760" t="str">
        <v>In McMurdo</v>
      </c>
      <c r="AE34" s="363" t="str">
        <v>FY25 intra</v>
      </c>
      <c r="AF34" s="363" t="str">
        <v>FY25 SPOT 1</v>
      </c>
      <c r="AG34" s="316">
        <v>0.6</v>
      </c>
      <c r="AH34" s="316" t="str">
        <v>-</v>
      </c>
      <c r="AI34" s="316" t="str">
        <v>-</v>
      </c>
      <c r="AJ34" s="316" t="str">
        <v>-</v>
      </c>
      <c r="AK34" s="53">
        <v>45627</v>
      </c>
      <c r="AL34" s="53">
        <v>45641</v>
      </c>
      <c r="AM34" s="316">
        <v>14</v>
      </c>
      <c r="AN34" s="316">
        <v>1430</v>
      </c>
      <c r="AO34" s="316" t="str">
        <v>Yes</v>
      </c>
      <c r="AP34" s="316" t="str">
        <v>D. Gibson</v>
      </c>
      <c r="AQ34" s="53">
        <v>44477</v>
      </c>
      <c r="AR34" s="316" t="str">
        <v>I. McEwen</v>
      </c>
      <c r="AS34" s="53">
        <v>44630</v>
      </c>
      <c r="AT34" s="316" t="str">
        <v>Hose to be installed on Main Supply Hose Reel upon arrival at Pole</v>
      </c>
    </row>
    <row r="35" spans="1:46" s="8" customFormat="1" x14ac:dyDescent="0.2">
      <c r="A35" s="9"/>
      <c r="B35" s="38"/>
      <c r="C35" s="11"/>
      <c r="D35" s="3"/>
      <c r="E35" s="4"/>
      <c r="F35" s="4"/>
      <c r="G35" s="4"/>
      <c r="H35" s="4"/>
      <c r="I35" s="4"/>
      <c r="J35" s="4"/>
      <c r="K35" s="4"/>
      <c r="L35" s="4"/>
      <c r="M35" s="4"/>
      <c r="N35" s="4"/>
      <c r="O35" s="756"/>
      <c r="P35" s="758"/>
      <c r="Q35" s="237"/>
      <c r="R35" s="757"/>
      <c r="S35" s="757"/>
      <c r="T35" s="758"/>
      <c r="U35" s="742"/>
      <c r="V35" s="541"/>
      <c r="W35" s="742"/>
      <c r="X35" s="759"/>
      <c r="Y35" s="316"/>
      <c r="Z35" s="316"/>
      <c r="AA35" s="316"/>
      <c r="AB35" s="316"/>
      <c r="AC35" s="316"/>
      <c r="AD35" s="760"/>
      <c r="AE35" s="363"/>
      <c r="AF35" s="363"/>
      <c r="AG35" s="316"/>
      <c r="AH35" s="316"/>
      <c r="AI35" s="316"/>
      <c r="AJ35" s="316"/>
      <c r="AK35" s="53"/>
      <c r="AL35" s="53"/>
      <c r="AM35" s="316"/>
      <c r="AN35" s="316"/>
      <c r="AO35" s="316"/>
      <c r="AP35" s="316"/>
      <c r="AQ35" s="53"/>
      <c r="AR35" s="316"/>
      <c r="AS35" s="53"/>
      <c r="AT35" s="316"/>
    </row>
    <row r="36" spans="1:46" s="8" customFormat="1" x14ac:dyDescent="0.2">
      <c r="A36" s="275"/>
      <c r="B36" s="276"/>
      <c r="C36" s="277"/>
      <c r="D36" s="278"/>
      <c r="E36" s="4"/>
      <c r="F36" s="4"/>
      <c r="G36" s="4"/>
      <c r="H36" s="4"/>
      <c r="I36" s="4"/>
      <c r="J36" s="4"/>
      <c r="K36" s="4"/>
      <c r="L36" s="4"/>
      <c r="M36" s="4"/>
      <c r="N36" s="4"/>
      <c r="O36" s="756"/>
      <c r="P36" s="758"/>
      <c r="Q36" s="237"/>
      <c r="R36" s="757"/>
      <c r="S36" s="757"/>
      <c r="T36" s="758"/>
      <c r="U36" s="742"/>
      <c r="V36" s="541"/>
      <c r="W36" s="742"/>
      <c r="X36" s="759"/>
      <c r="Y36" s="316"/>
      <c r="Z36" s="316"/>
      <c r="AA36" s="316"/>
      <c r="AB36" s="316"/>
      <c r="AC36" s="316"/>
      <c r="AD36" s="760"/>
      <c r="AE36" s="363"/>
      <c r="AF36" s="363"/>
      <c r="AG36" s="316"/>
      <c r="AH36" s="316"/>
      <c r="AI36" s="316"/>
      <c r="AJ36" s="316"/>
      <c r="AK36" s="53"/>
      <c r="AL36" s="53"/>
      <c r="AM36" s="316"/>
      <c r="AN36" s="316"/>
      <c r="AO36" s="316"/>
      <c r="AP36" s="316"/>
      <c r="AQ36" s="53"/>
      <c r="AR36" s="316"/>
      <c r="AS36" s="53"/>
      <c r="AT36" s="316"/>
    </row>
    <row r="37" spans="1:46" s="8" customFormat="1" x14ac:dyDescent="0.2">
      <c r="A37" s="9"/>
      <c r="B37" s="38"/>
      <c r="C37" s="11"/>
      <c r="D37" s="3"/>
      <c r="E37" s="4"/>
      <c r="F37" s="4"/>
      <c r="G37" s="4"/>
      <c r="H37" s="4"/>
      <c r="I37" s="4"/>
      <c r="J37" s="4"/>
      <c r="K37" s="4"/>
      <c r="L37" s="4"/>
      <c r="M37" s="4"/>
      <c r="N37" s="4"/>
      <c r="O37" s="756"/>
      <c r="P37" s="758"/>
      <c r="Q37" s="237"/>
      <c r="R37" s="757"/>
      <c r="S37" s="757"/>
      <c r="T37" s="758"/>
      <c r="U37" s="742"/>
      <c r="V37" s="541"/>
      <c r="W37" s="742"/>
      <c r="X37" s="759"/>
      <c r="Y37" s="316"/>
      <c r="Z37" s="316"/>
      <c r="AA37" s="316"/>
      <c r="AB37" s="316"/>
      <c r="AC37" s="316"/>
      <c r="AD37" s="760"/>
      <c r="AE37" s="363"/>
      <c r="AF37" s="363"/>
      <c r="AG37" s="316"/>
      <c r="AH37" s="316"/>
      <c r="AI37" s="316"/>
      <c r="AJ37" s="316"/>
      <c r="AK37" s="53"/>
      <c r="AL37" s="53"/>
      <c r="AM37" s="316"/>
      <c r="AN37" s="316"/>
      <c r="AO37" s="316"/>
      <c r="AP37" s="316"/>
      <c r="AQ37" s="53"/>
      <c r="AR37" s="316"/>
      <c r="AS37" s="53"/>
      <c r="AT37" s="316"/>
    </row>
    <row r="38" spans="1:46" s="8" customFormat="1" x14ac:dyDescent="0.2">
      <c r="A38" s="9"/>
      <c r="B38" s="38"/>
      <c r="C38" s="11"/>
      <c r="D38" s="3"/>
      <c r="E38" s="4"/>
      <c r="F38" s="4"/>
      <c r="G38" s="4"/>
      <c r="H38" s="4"/>
      <c r="I38" s="4"/>
      <c r="J38" s="4"/>
      <c r="K38" s="4"/>
      <c r="L38" s="4"/>
      <c r="M38" s="4"/>
      <c r="N38" s="4"/>
      <c r="O38" s="756"/>
      <c r="P38" s="758"/>
      <c r="Q38" s="237"/>
      <c r="R38" s="757"/>
      <c r="S38" s="757"/>
      <c r="T38" s="758"/>
      <c r="U38" s="742"/>
      <c r="V38" s="541"/>
      <c r="W38" s="742"/>
      <c r="X38" s="759"/>
      <c r="Y38" s="316"/>
      <c r="Z38" s="316"/>
      <c r="AA38" s="316"/>
      <c r="AB38" s="316"/>
      <c r="AC38" s="316"/>
      <c r="AD38" s="760"/>
      <c r="AE38" s="363"/>
      <c r="AF38" s="363"/>
      <c r="AG38" s="316"/>
      <c r="AH38" s="316"/>
      <c r="AI38" s="316"/>
      <c r="AJ38" s="316"/>
      <c r="AK38" s="53"/>
      <c r="AL38" s="53"/>
      <c r="AM38" s="316"/>
      <c r="AN38" s="316"/>
      <c r="AO38" s="316"/>
      <c r="AP38" s="316"/>
      <c r="AQ38" s="53"/>
      <c r="AR38" s="316"/>
      <c r="AS38" s="53"/>
      <c r="AT38" s="316"/>
    </row>
    <row r="39" spans="1:46" s="8" customFormat="1" x14ac:dyDescent="0.2">
      <c r="A39" s="9"/>
      <c r="B39" s="38"/>
      <c r="C39" s="11"/>
      <c r="D39" s="3"/>
      <c r="E39" s="4"/>
      <c r="F39" s="4"/>
      <c r="G39" s="4"/>
      <c r="H39" s="4"/>
      <c r="I39" s="4"/>
      <c r="J39" s="4"/>
      <c r="K39" s="4"/>
      <c r="L39" s="4"/>
      <c r="M39" s="4"/>
      <c r="N39" s="4"/>
      <c r="O39" s="756"/>
      <c r="P39" s="758"/>
      <c r="Q39" s="237"/>
      <c r="R39" s="757"/>
      <c r="S39" s="757"/>
      <c r="T39" s="758"/>
      <c r="U39" s="742"/>
      <c r="V39" s="541"/>
      <c r="W39" s="742"/>
      <c r="X39" s="759"/>
      <c r="Y39" s="316"/>
      <c r="Z39" s="316"/>
      <c r="AA39" s="316"/>
      <c r="AB39" s="316"/>
      <c r="AC39" s="316"/>
      <c r="AD39" s="760"/>
      <c r="AE39" s="363"/>
      <c r="AF39" s="363"/>
      <c r="AG39" s="316"/>
      <c r="AH39" s="316"/>
      <c r="AI39" s="316"/>
      <c r="AJ39" s="316"/>
      <c r="AK39" s="53"/>
      <c r="AL39" s="53"/>
      <c r="AM39" s="316"/>
      <c r="AN39" s="316"/>
      <c r="AO39" s="316"/>
      <c r="AP39" s="316"/>
      <c r="AQ39" s="53"/>
      <c r="AR39" s="316"/>
      <c r="AS39" s="53"/>
      <c r="AT39" s="316"/>
    </row>
    <row r="40" spans="1:46" s="8" customFormat="1" ht="17" thickBot="1" x14ac:dyDescent="0.25">
      <c r="A40" s="275"/>
      <c r="B40" s="276"/>
      <c r="C40" s="277"/>
      <c r="D40" s="278"/>
      <c r="E40" s="4"/>
      <c r="F40" s="4"/>
      <c r="G40" s="4"/>
      <c r="H40" s="4"/>
      <c r="I40" s="4"/>
      <c r="J40" s="4"/>
      <c r="K40" s="4"/>
      <c r="L40" s="4"/>
      <c r="M40" s="4"/>
      <c r="N40" s="4"/>
      <c r="O40" s="756"/>
      <c r="P40" s="758"/>
      <c r="Q40" s="237"/>
      <c r="R40" s="757"/>
      <c r="S40" s="757"/>
      <c r="T40" s="758"/>
      <c r="U40" s="742"/>
      <c r="V40" s="541"/>
      <c r="W40" s="742"/>
      <c r="X40" s="759"/>
      <c r="Y40" s="316"/>
      <c r="Z40" s="316"/>
      <c r="AA40" s="316"/>
      <c r="AB40" s="316"/>
      <c r="AC40" s="316"/>
      <c r="AD40" s="760"/>
      <c r="AE40" s="363"/>
      <c r="AF40" s="363"/>
      <c r="AG40" s="316"/>
      <c r="AH40" s="316"/>
      <c r="AI40" s="316"/>
      <c r="AJ40" s="316"/>
      <c r="AK40" s="53"/>
      <c r="AL40" s="53"/>
      <c r="AM40" s="316"/>
      <c r="AN40" s="316"/>
      <c r="AO40" s="316"/>
      <c r="AP40" s="316"/>
      <c r="AQ40" s="53"/>
      <c r="AR40" s="316"/>
      <c r="AS40" s="53"/>
      <c r="AT40" s="316"/>
    </row>
    <row r="41" spans="1:46" s="395" customFormat="1" ht="17" thickBot="1" x14ac:dyDescent="0.25">
      <c r="A41" s="788"/>
      <c r="B41" s="788"/>
      <c r="C41" s="788"/>
      <c r="D41" s="788"/>
      <c r="E41" s="788"/>
      <c r="F41" s="788"/>
      <c r="G41" s="788"/>
      <c r="H41" s="788"/>
      <c r="I41" s="789"/>
      <c r="J41" s="495">
        <f>SUM(J17:J40)</f>
        <v>20513</v>
      </c>
      <c r="K41" s="104"/>
      <c r="L41" s="495">
        <f>SUM(L17:L40)</f>
        <v>205787</v>
      </c>
      <c r="M41" s="788"/>
      <c r="N41" s="788"/>
      <c r="O41" s="788"/>
      <c r="P41" s="789"/>
      <c r="Q41" s="791"/>
      <c r="R41" s="791"/>
      <c r="S41" s="791"/>
      <c r="T41" s="788"/>
      <c r="U41" s="788"/>
      <c r="V41" s="788"/>
      <c r="W41" s="788"/>
      <c r="X41" s="788"/>
      <c r="Y41" s="792"/>
      <c r="Z41" s="792"/>
      <c r="AA41" s="792"/>
      <c r="AB41" s="792"/>
      <c r="AC41" s="792"/>
      <c r="AD41" s="791"/>
      <c r="AE41" s="8"/>
      <c r="AF41" s="319">
        <f>SUM(AG41:AI41)</f>
        <v>9.3999999999999986</v>
      </c>
      <c r="AG41" s="317">
        <f>SUM(AG17:AG40)</f>
        <v>5.3999999999999995</v>
      </c>
      <c r="AH41" s="317">
        <f>SUM(AH17:AH40)</f>
        <v>3</v>
      </c>
      <c r="AI41" s="317">
        <f>SUM(AI17:AI40)</f>
        <v>1</v>
      </c>
      <c r="AJ41" s="794">
        <f>SUM(AJ17:AJ40)</f>
        <v>0</v>
      </c>
      <c r="AK41" s="791"/>
      <c r="AL41" s="788"/>
      <c r="AM41" s="793"/>
      <c r="AN41" s="791"/>
      <c r="AO41" s="788"/>
      <c r="AP41" s="791"/>
      <c r="AQ41" s="788"/>
      <c r="AR41" s="793"/>
      <c r="AS41" s="788"/>
      <c r="AT41" s="788"/>
    </row>
    <row r="42" spans="1:46" s="395" customFormat="1" x14ac:dyDescent="0.2">
      <c r="A42" s="788"/>
      <c r="B42" s="788"/>
      <c r="C42" s="788"/>
      <c r="D42" s="788"/>
      <c r="E42" s="788"/>
      <c r="F42" s="788"/>
      <c r="G42" s="788"/>
      <c r="H42" s="788"/>
      <c r="I42" s="789"/>
      <c r="J42" s="54" t="s">
        <v>478</v>
      </c>
      <c r="K42" s="8"/>
      <c r="L42" s="8" t="s">
        <v>479</v>
      </c>
      <c r="M42" s="8"/>
      <c r="N42" s="8"/>
      <c r="O42" s="8"/>
      <c r="P42" s="522"/>
      <c r="Q42" s="54"/>
      <c r="R42" s="54"/>
      <c r="S42" s="54"/>
      <c r="T42" s="8"/>
      <c r="U42" s="8"/>
      <c r="V42" s="8"/>
      <c r="W42" s="8"/>
      <c r="X42" s="8"/>
      <c r="Y42" s="59"/>
      <c r="Z42" s="59"/>
      <c r="AA42" s="59"/>
      <c r="AB42" s="59"/>
      <c r="AC42" s="59"/>
      <c r="AD42" s="54"/>
      <c r="AE42" s="8"/>
      <c r="AF42" s="54" t="s">
        <v>480</v>
      </c>
      <c r="AG42" s="54" t="s">
        <v>481</v>
      </c>
      <c r="AH42" s="8" t="s">
        <v>482</v>
      </c>
      <c r="AI42" s="8" t="s">
        <v>483</v>
      </c>
      <c r="AJ42" s="795" t="s">
        <v>484</v>
      </c>
      <c r="AK42" s="791"/>
      <c r="AL42" s="788"/>
      <c r="AM42" s="793"/>
      <c r="AN42" s="791"/>
      <c r="AO42" s="788"/>
      <c r="AP42" s="791"/>
      <c r="AQ42" s="788"/>
      <c r="AR42" s="793"/>
      <c r="AS42" s="788"/>
      <c r="AT42" s="788"/>
    </row>
    <row r="43" spans="1:46" s="395" customFormat="1" x14ac:dyDescent="0.2">
      <c r="A43" s="788"/>
      <c r="B43" s="788"/>
      <c r="C43" s="788"/>
      <c r="D43" s="788"/>
      <c r="E43" s="788"/>
      <c r="F43" s="788"/>
      <c r="G43" s="788"/>
      <c r="H43" s="788"/>
      <c r="I43" s="789"/>
      <c r="J43" s="788"/>
      <c r="K43" s="788"/>
      <c r="L43" s="788"/>
      <c r="M43" s="788"/>
      <c r="N43" s="788"/>
      <c r="O43" s="791"/>
      <c r="P43" s="789"/>
      <c r="Q43" s="791"/>
      <c r="R43" s="788"/>
      <c r="S43" s="791"/>
      <c r="T43" s="788"/>
      <c r="U43" s="788"/>
      <c r="V43" s="788"/>
      <c r="W43" s="788"/>
      <c r="X43" s="788"/>
      <c r="Y43" s="792"/>
      <c r="Z43" s="792"/>
      <c r="AA43" s="792"/>
      <c r="AB43" s="792"/>
      <c r="AC43" s="792"/>
      <c r="AD43" s="54"/>
      <c r="AE43" s="8"/>
      <c r="AF43" s="8"/>
      <c r="AG43" s="59"/>
      <c r="AH43" s="59"/>
      <c r="AI43" s="59"/>
      <c r="AJ43" s="545"/>
      <c r="AK43" s="54"/>
      <c r="AL43" s="54"/>
      <c r="AM43" s="8"/>
      <c r="AN43" s="8"/>
      <c r="AO43" s="788"/>
      <c r="AP43" s="791"/>
      <c r="AQ43" s="788"/>
      <c r="AR43" s="793"/>
      <c r="AS43" s="788"/>
      <c r="AT43" s="788"/>
    </row>
    <row r="44" spans="1:46" s="395" customFormat="1" x14ac:dyDescent="0.2">
      <c r="A44" s="788"/>
      <c r="B44" s="788"/>
      <c r="C44" s="788"/>
      <c r="D44" s="788"/>
      <c r="E44" s="788"/>
      <c r="F44" s="788"/>
      <c r="G44" s="788"/>
      <c r="H44" s="788"/>
      <c r="I44" s="789"/>
      <c r="J44" s="788"/>
      <c r="K44" s="788"/>
      <c r="L44" s="788"/>
      <c r="M44" s="788"/>
      <c r="N44" s="788"/>
      <c r="O44" s="788"/>
      <c r="P44" s="789"/>
      <c r="Q44" s="791"/>
      <c r="R44" s="791"/>
      <c r="S44" s="791"/>
      <c r="T44" s="788"/>
      <c r="U44" s="788"/>
      <c r="V44" s="788"/>
      <c r="W44" s="788"/>
      <c r="X44" s="788"/>
      <c r="Y44" s="792"/>
      <c r="Z44" s="792"/>
      <c r="AA44" s="792"/>
      <c r="AB44" s="792"/>
      <c r="AC44" s="792"/>
      <c r="AD44" s="791"/>
      <c r="AE44" s="788"/>
      <c r="AF44" s="788"/>
      <c r="AG44" s="792"/>
      <c r="AH44" s="792"/>
      <c r="AI44" s="792"/>
      <c r="AJ44" s="544"/>
      <c r="AK44" s="791"/>
      <c r="AL44" s="791"/>
      <c r="AM44" s="792"/>
      <c r="AN44" s="792"/>
      <c r="AO44" s="788"/>
      <c r="AP44" s="791"/>
      <c r="AQ44" s="788"/>
      <c r="AR44" s="793"/>
      <c r="AS44" s="788"/>
      <c r="AT44" s="788"/>
    </row>
    <row r="45" spans="1:46" s="423" customFormat="1" ht="19" x14ac:dyDescent="0.25">
      <c r="I45" s="523"/>
      <c r="P45" s="523"/>
      <c r="Q45" s="424"/>
      <c r="R45" s="424"/>
      <c r="S45" s="424"/>
      <c r="Y45" s="432"/>
      <c r="Z45" s="432"/>
      <c r="AA45" s="432"/>
      <c r="AB45" s="432"/>
      <c r="AC45" s="432"/>
      <c r="AD45" s="424"/>
      <c r="AG45" s="432"/>
      <c r="AH45" s="432"/>
      <c r="AI45" s="432"/>
      <c r="AJ45" s="546"/>
      <c r="AK45" s="424"/>
      <c r="AL45" s="424"/>
      <c r="AM45" s="432"/>
      <c r="AN45" s="432"/>
      <c r="AP45" s="424"/>
      <c r="AR45" s="535"/>
    </row>
    <row r="46" spans="1:46" s="60" customFormat="1" ht="19" x14ac:dyDescent="0.2">
      <c r="A46" s="272"/>
      <c r="B46" s="282"/>
      <c r="C46" s="279"/>
      <c r="D46" s="280"/>
      <c r="E46" s="281"/>
      <c r="F46" s="34"/>
      <c r="G46" s="34"/>
      <c r="H46" s="40"/>
      <c r="I46" s="578"/>
      <c r="J46" s="41"/>
      <c r="K46" s="41"/>
      <c r="L46" s="34"/>
      <c r="M46" s="34"/>
      <c r="N46" s="34"/>
      <c r="O46" s="42"/>
      <c r="P46" s="42"/>
      <c r="Q46" s="52"/>
      <c r="R46" s="52"/>
      <c r="S46" s="52"/>
      <c r="T46" s="52"/>
      <c r="U46" s="43"/>
      <c r="V46" s="44"/>
      <c r="W46" s="44"/>
      <c r="X46" s="44"/>
      <c r="Y46" s="369"/>
      <c r="Z46" s="369"/>
      <c r="AA46" s="369"/>
      <c r="AB46" s="369"/>
      <c r="AC46" s="369"/>
      <c r="AD46" s="551"/>
      <c r="AE46" s="430"/>
      <c r="AF46" s="430"/>
      <c r="AG46" s="430"/>
      <c r="AH46" s="430"/>
      <c r="AI46" s="430"/>
      <c r="AJ46" s="547"/>
      <c r="AK46" s="260"/>
      <c r="AL46" s="52"/>
      <c r="AM46" s="369"/>
      <c r="AN46" s="369"/>
      <c r="AO46" s="386"/>
      <c r="AP46" s="386"/>
      <c r="AQ46" s="533"/>
      <c r="AR46" s="533"/>
      <c r="AS46" s="533"/>
      <c r="AT46" s="533"/>
    </row>
    <row r="47" spans="1:46" s="416" customFormat="1" ht="20" x14ac:dyDescent="0.2">
      <c r="A47" s="393" t="s">
        <v>173</v>
      </c>
      <c r="B47" s="393"/>
      <c r="C47" s="393"/>
      <c r="D47" s="394"/>
      <c r="E47" s="417"/>
      <c r="F47" s="417"/>
      <c r="G47" s="417"/>
      <c r="H47" s="417"/>
      <c r="I47" s="579"/>
      <c r="J47" s="417"/>
      <c r="K47" s="417"/>
      <c r="L47" s="417"/>
      <c r="M47" s="417"/>
      <c r="N47" s="417"/>
      <c r="O47" s="417"/>
      <c r="P47" s="417"/>
      <c r="Q47" s="421"/>
      <c r="R47" s="421"/>
      <c r="S47" s="421"/>
      <c r="T47" s="421"/>
      <c r="U47" s="417"/>
      <c r="V47" s="417"/>
      <c r="W47" s="417"/>
      <c r="X47" s="417"/>
      <c r="Y47" s="420"/>
      <c r="Z47" s="420"/>
      <c r="AA47" s="420"/>
      <c r="AB47" s="420"/>
      <c r="AC47" s="420"/>
      <c r="AD47" s="565"/>
      <c r="AE47" s="566"/>
      <c r="AF47" s="566"/>
      <c r="AG47" s="566"/>
      <c r="AH47" s="566"/>
      <c r="AI47" s="566"/>
      <c r="AJ47" s="420"/>
      <c r="AK47" s="421"/>
      <c r="AL47" s="419"/>
      <c r="AM47" s="538"/>
      <c r="AN47" s="538"/>
      <c r="AO47" s="419"/>
      <c r="AP47" s="567"/>
      <c r="AQ47" s="568"/>
      <c r="AR47" s="568"/>
      <c r="AS47" s="568"/>
      <c r="AT47" s="568"/>
    </row>
    <row r="48" spans="1:46" s="8" customFormat="1" ht="17" x14ac:dyDescent="0.2">
      <c r="A48" s="9" cm="1">
        <f t="array" ref="A48:AT60">_xlfn._xlws.FILTER(cargo_table, inter_shipping_label=A47)</f>
        <v>1.2</v>
      </c>
      <c r="B48" s="38" t="str">
        <v>Drill</v>
      </c>
      <c r="C48" s="11" t="str">
        <v>Gen 2 - housed in 20' container</v>
      </c>
      <c r="D48" s="3" t="str">
        <v>Power generation unit 2 housed in 20' shipping container</v>
      </c>
      <c r="E48" s="4">
        <v>240</v>
      </c>
      <c r="F48" s="4">
        <v>96</v>
      </c>
      <c r="G48" s="4">
        <v>102</v>
      </c>
      <c r="H48" s="4">
        <v>1</v>
      </c>
      <c r="I48" s="539">
        <v>1360</v>
      </c>
      <c r="J48" s="4">
        <v>1360</v>
      </c>
      <c r="K48" s="4">
        <v>22000</v>
      </c>
      <c r="L48" s="4">
        <v>22000</v>
      </c>
      <c r="M48" s="4" t="str">
        <v>actual</v>
      </c>
      <c r="N48" s="4" t="str">
        <v>-</v>
      </c>
      <c r="O48" s="756" t="str">
        <v xml:space="preserve"> U. Wisc. Madison</v>
      </c>
      <c r="P48" s="758" t="str">
        <v>In McMurdo</v>
      </c>
      <c r="Q48" s="237">
        <v>43845</v>
      </c>
      <c r="R48" s="757" t="str">
        <v>-</v>
      </c>
      <c r="S48" s="757" t="str">
        <v>In McMurdo</v>
      </c>
      <c r="T48" s="757" t="str">
        <v>-</v>
      </c>
      <c r="U48" s="742" t="str">
        <v>In McMurdo</v>
      </c>
      <c r="V48" s="742" t="str">
        <v>FY23 inter</v>
      </c>
      <c r="W48" s="742" t="str">
        <v>FY23 Vessel</v>
      </c>
      <c r="X48" s="742" t="str">
        <v>USAP Vessel</v>
      </c>
      <c r="Y48" s="774" t="str">
        <v>-</v>
      </c>
      <c r="Z48" s="774" t="str">
        <v>-</v>
      </c>
      <c r="AA48" s="774" t="str">
        <v>-</v>
      </c>
      <c r="AB48" s="774" t="str">
        <v>-</v>
      </c>
      <c r="AC48" s="774" t="str">
        <v>-</v>
      </c>
      <c r="AD48" s="702">
        <v>44963</v>
      </c>
      <c r="AE48" s="363" t="str">
        <v>FY24 intra</v>
      </c>
      <c r="AF48" s="363" t="str">
        <v>FY24 SPOT 1</v>
      </c>
      <c r="AG48" s="316">
        <v>0.5</v>
      </c>
      <c r="AH48" s="316">
        <v>0</v>
      </c>
      <c r="AI48" s="316" t="str">
        <v>-</v>
      </c>
      <c r="AJ48" s="316" t="str">
        <v>-</v>
      </c>
      <c r="AK48" s="53">
        <v>45261</v>
      </c>
      <c r="AL48" s="53">
        <v>45261</v>
      </c>
      <c r="AM48" s="316">
        <v>0</v>
      </c>
      <c r="AN48" s="316" t="str">
        <v>-</v>
      </c>
      <c r="AO48" s="316" t="str">
        <v>Yes</v>
      </c>
      <c r="AP48" s="53" t="str">
        <v>I. McEwen</v>
      </c>
      <c r="AQ48" s="53">
        <v>44616</v>
      </c>
      <c r="AR48" s="53" t="str">
        <v>D.Tosi</v>
      </c>
      <c r="AS48" s="53">
        <v>44616</v>
      </c>
      <c r="AT48" s="53" t="str">
        <v xml:space="preserve">Gens 2 Going back to CHC for repairs </v>
      </c>
    </row>
    <row r="49" spans="1:46" s="8" customFormat="1" ht="51" x14ac:dyDescent="0.2">
      <c r="A49" s="9">
        <v>1.2</v>
      </c>
      <c r="B49" s="38" t="str">
        <v>Drill</v>
      </c>
      <c r="C49" s="11" t="str">
        <v>ARA Drill System Components - Crate #1</v>
      </c>
      <c r="D49" s="3" t="str">
        <v>ARA (Antarctic Rodwell Appartus) - downhole pump controller, ePump controller, splash cam kit, and accessories - Do Not Freeze</v>
      </c>
      <c r="E49" s="4">
        <v>96</v>
      </c>
      <c r="F49" s="4">
        <v>48</v>
      </c>
      <c r="G49" s="4">
        <v>48</v>
      </c>
      <c r="H49" s="4">
        <v>1</v>
      </c>
      <c r="I49" s="539">
        <v>128</v>
      </c>
      <c r="J49" s="4">
        <v>128</v>
      </c>
      <c r="K49" s="4">
        <v>1200</v>
      </c>
      <c r="L49" s="4">
        <v>1200</v>
      </c>
      <c r="M49" s="4" t="str">
        <v>estimated</v>
      </c>
      <c r="N49" s="4" t="str">
        <v>DNF</v>
      </c>
      <c r="O49" s="756" t="str">
        <v xml:space="preserve"> U. Wisc. Madison</v>
      </c>
      <c r="P49" s="758">
        <v>30</v>
      </c>
      <c r="Q49" s="878">
        <v>44819</v>
      </c>
      <c r="R49" s="757">
        <v>44849</v>
      </c>
      <c r="S49" s="757" t="str">
        <v>UWM - PTH</v>
      </c>
      <c r="T49" s="757" t="str">
        <v xml:space="preserve"> Truck</v>
      </c>
      <c r="U49" s="742" t="str">
        <v>PTH - MCM</v>
      </c>
      <c r="V49" s="742" t="str">
        <v>FY23 inter</v>
      </c>
      <c r="W49" s="742" t="str">
        <v>FY23 Vessel</v>
      </c>
      <c r="X49" s="742" t="str">
        <v>USAP Vessel</v>
      </c>
      <c r="Y49" s="774" t="str">
        <v>-</v>
      </c>
      <c r="Z49" s="774" t="str">
        <v>-</v>
      </c>
      <c r="AA49" s="774" t="str">
        <v>-</v>
      </c>
      <c r="AB49" s="774">
        <v>0.5</v>
      </c>
      <c r="AC49" s="774">
        <v>0.25</v>
      </c>
      <c r="AD49" s="702">
        <v>44963</v>
      </c>
      <c r="AE49" s="363" t="str">
        <v>FY24 intra</v>
      </c>
      <c r="AF49" s="363" t="str">
        <v>FY24 LC-130</v>
      </c>
      <c r="AG49" s="316" t="str">
        <v>-</v>
      </c>
      <c r="AH49" s="316" t="str">
        <v>-</v>
      </c>
      <c r="AI49" s="316" t="str">
        <v>-</v>
      </c>
      <c r="AJ49" s="316">
        <v>0.25</v>
      </c>
      <c r="AK49" s="53">
        <v>45245</v>
      </c>
      <c r="AL49" s="53">
        <v>45261</v>
      </c>
      <c r="AM49" s="316">
        <v>16</v>
      </c>
      <c r="AN49" s="316">
        <v>412</v>
      </c>
      <c r="AO49" s="316" t="str">
        <v>Yes</v>
      </c>
      <c r="AP49" s="53" t="str">
        <v>D. Gibson</v>
      </c>
      <c r="AQ49" s="53">
        <v>44477</v>
      </c>
      <c r="AR49" s="53" t="str">
        <v>I. McEwen</v>
      </c>
      <c r="AS49" s="53">
        <v>44477</v>
      </c>
      <c r="AT49" s="53" t="str">
        <v>-</v>
      </c>
    </row>
    <row r="50" spans="1:46" s="8" customFormat="1" ht="68" x14ac:dyDescent="0.2">
      <c r="A50" s="9">
        <v>1.2</v>
      </c>
      <c r="B50" s="38" t="str">
        <v>Drill</v>
      </c>
      <c r="C50" s="11" t="str">
        <v>Computing/controls components Shipment #1</v>
      </c>
      <c r="D50" s="3" t="str">
        <v>Components and equipment to support field season 1 controls system tasking). Controls infrastructure - Motor drives, PLCs, electrical hardware, and motor drive mounting kits) - Do Not Freeze</v>
      </c>
      <c r="E50" s="4">
        <v>96</v>
      </c>
      <c r="F50" s="4">
        <v>48</v>
      </c>
      <c r="G50" s="4">
        <v>48</v>
      </c>
      <c r="H50" s="4">
        <v>1</v>
      </c>
      <c r="I50" s="539">
        <v>128</v>
      </c>
      <c r="J50" s="4">
        <v>128</v>
      </c>
      <c r="K50" s="4">
        <v>3000</v>
      </c>
      <c r="L50" s="4">
        <v>3000</v>
      </c>
      <c r="M50" s="4" t="str">
        <v>estimated</v>
      </c>
      <c r="N50" s="4" t="str">
        <v>DNF</v>
      </c>
      <c r="O50" s="756" t="str">
        <v xml:space="preserve"> U. Wisc. Madison</v>
      </c>
      <c r="P50" s="758">
        <v>14</v>
      </c>
      <c r="Q50" s="878">
        <v>44835</v>
      </c>
      <c r="R50" s="757">
        <v>44849</v>
      </c>
      <c r="S50" s="757" t="str">
        <v>UWM - PTH</v>
      </c>
      <c r="T50" s="757" t="str">
        <v>Truck</v>
      </c>
      <c r="U50" s="742" t="str">
        <v>PTH - CHC</v>
      </c>
      <c r="V50" s="742" t="str">
        <v>FY23 inter</v>
      </c>
      <c r="W50" s="742" t="str">
        <v>FY23 Vessel</v>
      </c>
      <c r="X50" s="742" t="str">
        <v>USAP Vessel</v>
      </c>
      <c r="Y50" s="774" t="str">
        <v>-</v>
      </c>
      <c r="Z50" s="774" t="str">
        <v>-</v>
      </c>
      <c r="AA50" s="774" t="str">
        <v>-</v>
      </c>
      <c r="AB50" s="774" t="str">
        <v>-</v>
      </c>
      <c r="AC50" s="774">
        <v>0.5</v>
      </c>
      <c r="AD50" s="702">
        <v>44963</v>
      </c>
      <c r="AE50" s="363" t="str">
        <v>FY24 intra</v>
      </c>
      <c r="AF50" s="363" t="str">
        <v>FY24 LC-130</v>
      </c>
      <c r="AG50" s="316" t="str">
        <v>-</v>
      </c>
      <c r="AH50" s="316" t="str">
        <v>-</v>
      </c>
      <c r="AI50" s="316" t="str">
        <v>-</v>
      </c>
      <c r="AJ50" s="316">
        <v>0.5</v>
      </c>
      <c r="AK50" s="53">
        <v>45245</v>
      </c>
      <c r="AL50" s="53">
        <v>45245</v>
      </c>
      <c r="AM50" s="316">
        <v>0</v>
      </c>
      <c r="AN50" s="316">
        <v>396</v>
      </c>
      <c r="AO50" s="316" t="str">
        <v>Yes</v>
      </c>
      <c r="AP50" s="53" t="str">
        <v>D. Gibson</v>
      </c>
      <c r="AQ50" s="53">
        <v>44477</v>
      </c>
      <c r="AR50" s="53" t="str">
        <v>I. McEwen</v>
      </c>
      <c r="AS50" s="53">
        <v>44477</v>
      </c>
      <c r="AT50" s="53" t="str">
        <v>Weight estimated</v>
      </c>
    </row>
    <row r="51" spans="1:46" s="8" customFormat="1" ht="68" x14ac:dyDescent="0.2">
      <c r="A51" s="275">
        <v>1.2</v>
      </c>
      <c r="B51" s="276" t="str">
        <v>Drill</v>
      </c>
      <c r="C51" s="277" t="str">
        <v>20' Refit Container C: Bull Wheel, Spare Combo &amp; Drill Cables, Hose Heating System Components, ARA Drill System Components Crate #2</v>
      </c>
      <c r="D51" s="278" t="str">
        <v>Bull wheel assembly - used to install main cable on reel in event of main cable damage/failure; Spare cable for Return Water Cable Reel - on spool; ARA new downhole pumps, spares, accessories and tools</v>
      </c>
      <c r="E51" s="4">
        <v>240</v>
      </c>
      <c r="F51" s="4">
        <v>96</v>
      </c>
      <c r="G51" s="4">
        <v>102</v>
      </c>
      <c r="H51" s="4">
        <v>1</v>
      </c>
      <c r="I51" s="539">
        <v>1360</v>
      </c>
      <c r="J51" s="4">
        <v>1360</v>
      </c>
      <c r="K51" s="4">
        <v>21500</v>
      </c>
      <c r="L51" s="4">
        <v>21500</v>
      </c>
      <c r="M51" s="4" t="str">
        <v>actual</v>
      </c>
      <c r="N51" s="4" t="str">
        <v>-</v>
      </c>
      <c r="O51" s="756" t="str">
        <v xml:space="preserve"> U. Wisc. Madison</v>
      </c>
      <c r="P51" s="758">
        <v>31</v>
      </c>
      <c r="Q51" s="878">
        <v>44818</v>
      </c>
      <c r="R51" s="757">
        <v>44849</v>
      </c>
      <c r="S51" s="757" t="str">
        <v>UWM - PTH</v>
      </c>
      <c r="T51" s="757" t="str">
        <v>Truck</v>
      </c>
      <c r="U51" s="742" t="str">
        <v>PTH - MCM</v>
      </c>
      <c r="V51" s="742" t="str">
        <v>FY23 inter</v>
      </c>
      <c r="W51" s="742" t="str">
        <v>FY23 Vessel</v>
      </c>
      <c r="X51" s="742" t="str">
        <v>USAP Vessel</v>
      </c>
      <c r="Y51" s="774" t="str">
        <v>-</v>
      </c>
      <c r="Z51" s="774" t="str">
        <v>-</v>
      </c>
      <c r="AA51" s="774">
        <v>1</v>
      </c>
      <c r="AB51" s="774" t="str">
        <v>-</v>
      </c>
      <c r="AC51" s="774" t="str">
        <v>-</v>
      </c>
      <c r="AD51" s="702">
        <v>44963</v>
      </c>
      <c r="AE51" s="363" t="str">
        <v>FY24 intra</v>
      </c>
      <c r="AF51" s="363" t="str">
        <v>FY24 SPOT 1</v>
      </c>
      <c r="AG51" s="316">
        <v>0.5</v>
      </c>
      <c r="AH51" s="316" t="str">
        <v>-</v>
      </c>
      <c r="AI51" s="316" t="str">
        <v>-</v>
      </c>
      <c r="AJ51" s="316" t="str">
        <v>-</v>
      </c>
      <c r="AK51" s="53">
        <v>45261</v>
      </c>
      <c r="AL51" s="53">
        <v>45679</v>
      </c>
      <c r="AM51" s="316">
        <v>418</v>
      </c>
      <c r="AN51" s="316">
        <v>830</v>
      </c>
      <c r="AO51" s="316" t="str">
        <v>Yes</v>
      </c>
      <c r="AP51" s="53" t="str">
        <v>I. McEwen</v>
      </c>
      <c r="AQ51" s="53">
        <v>44616</v>
      </c>
      <c r="AR51" s="53" t="str">
        <v>D. Tosi</v>
      </c>
      <c r="AS51" s="53">
        <v>44616</v>
      </c>
      <c r="AT51" s="53" t="str">
        <v>Consolidation: 20 ft container with Bull Wheel, Spare Combo &amp; Drill Cables, Hose Heating System Components, ARA Drill System Components Crate #2</v>
      </c>
    </row>
    <row r="52" spans="1:46" s="8" customFormat="1" ht="17" x14ac:dyDescent="0.2">
      <c r="A52" s="9">
        <v>1.2</v>
      </c>
      <c r="B52" s="38" t="str">
        <v>Drill</v>
      </c>
      <c r="C52" s="11" t="str">
        <v>Drill Heads - X</v>
      </c>
      <c r="D52" s="3" t="str">
        <v>Drill Heads for winterover storage - ICL  - Do Not Freeze</v>
      </c>
      <c r="E52" s="4">
        <v>192</v>
      </c>
      <c r="F52" s="4">
        <v>24</v>
      </c>
      <c r="G52" s="4">
        <v>24</v>
      </c>
      <c r="H52" s="4">
        <v>1</v>
      </c>
      <c r="I52" s="539">
        <v>64</v>
      </c>
      <c r="J52" s="4">
        <v>64</v>
      </c>
      <c r="K52" s="4">
        <v>1060</v>
      </c>
      <c r="L52" s="4">
        <v>1060</v>
      </c>
      <c r="M52" s="4" t="str">
        <v>actual</v>
      </c>
      <c r="N52" s="4" t="str">
        <v>DNF</v>
      </c>
      <c r="O52" s="756" t="str">
        <v xml:space="preserve"> U. Wisc. Madison</v>
      </c>
      <c r="P52" s="758">
        <v>409</v>
      </c>
      <c r="Q52" s="237">
        <v>44440</v>
      </c>
      <c r="R52" s="757">
        <v>44849</v>
      </c>
      <c r="S52" s="757" t="str">
        <v>UWM - PTH</v>
      </c>
      <c r="T52" s="757" t="str">
        <v>Truck</v>
      </c>
      <c r="U52" s="742" t="str">
        <v>PTH - MCM</v>
      </c>
      <c r="V52" s="742" t="str">
        <v>FY23 inter</v>
      </c>
      <c r="W52" s="742" t="str">
        <v>FY23 Vessel</v>
      </c>
      <c r="X52" s="742" t="str">
        <v>USAP Vessel</v>
      </c>
      <c r="Y52" s="774" t="str">
        <v>-</v>
      </c>
      <c r="Z52" s="774" t="str">
        <v>-</v>
      </c>
      <c r="AA52" s="774">
        <v>0.25</v>
      </c>
      <c r="AB52" s="774" t="str">
        <v>-</v>
      </c>
      <c r="AC52" s="774" t="str">
        <v>-</v>
      </c>
      <c r="AD52" s="702">
        <v>44963</v>
      </c>
      <c r="AE52" s="363" t="str">
        <v>FY24 intra</v>
      </c>
      <c r="AF52" s="363" t="str">
        <v>FY24 LC-130</v>
      </c>
      <c r="AG52" s="316" t="str">
        <v>-</v>
      </c>
      <c r="AH52" s="316" t="str">
        <v>-</v>
      </c>
      <c r="AI52" s="316" t="str">
        <v>-</v>
      </c>
      <c r="AJ52" s="316">
        <v>0.3</v>
      </c>
      <c r="AK52" s="53">
        <v>45328</v>
      </c>
      <c r="AL52" s="53">
        <v>45976</v>
      </c>
      <c r="AM52" s="316">
        <v>648</v>
      </c>
      <c r="AN52" s="316">
        <v>1127</v>
      </c>
      <c r="AO52" s="316" t="str">
        <v>Yes</v>
      </c>
      <c r="AP52" s="53" t="str">
        <v>D. Gibson</v>
      </c>
      <c r="AQ52" s="53">
        <v>44477</v>
      </c>
      <c r="AR52" s="53" t="str">
        <v>I. McEwen</v>
      </c>
      <c r="AS52" s="53">
        <v>44477</v>
      </c>
      <c r="AT52" s="53" t="str">
        <v>One drill head shipped one year early for ull system wet-test</v>
      </c>
    </row>
    <row r="53" spans="1:46" s="8" customFormat="1" ht="17" x14ac:dyDescent="0.2">
      <c r="A53" s="9">
        <v>1.2</v>
      </c>
      <c r="B53" s="38" t="str">
        <v>Drill</v>
      </c>
      <c r="C53" s="11" t="str">
        <v>Drill Heads - Y</v>
      </c>
      <c r="D53" s="3" t="str">
        <v>Drill Heads for winterover storage - ICL  - Do Not Freeze</v>
      </c>
      <c r="E53" s="4">
        <v>192</v>
      </c>
      <c r="F53" s="4">
        <v>24</v>
      </c>
      <c r="G53" s="4">
        <v>24</v>
      </c>
      <c r="H53" s="4">
        <v>1</v>
      </c>
      <c r="I53" s="539">
        <v>64</v>
      </c>
      <c r="J53" s="4">
        <v>64</v>
      </c>
      <c r="K53" s="4">
        <v>1060</v>
      </c>
      <c r="L53" s="4">
        <v>1060</v>
      </c>
      <c r="M53" s="4" t="str">
        <v>actual</v>
      </c>
      <c r="N53" s="4" t="str">
        <v>DNF</v>
      </c>
      <c r="O53" s="756" t="str">
        <v xml:space="preserve"> U. Wisc. Madison</v>
      </c>
      <c r="P53" s="758">
        <v>409</v>
      </c>
      <c r="Q53" s="237">
        <v>44440</v>
      </c>
      <c r="R53" s="757">
        <v>44849</v>
      </c>
      <c r="S53" s="757" t="str">
        <v>UWM - PTH</v>
      </c>
      <c r="T53" s="757" t="str">
        <v>Truck</v>
      </c>
      <c r="U53" s="742" t="str">
        <v>PTH - MCM</v>
      </c>
      <c r="V53" s="742" t="str">
        <v>FY23 inter</v>
      </c>
      <c r="W53" s="742" t="str">
        <v>FY23 Vessel</v>
      </c>
      <c r="X53" s="742" t="str">
        <v>USAP Vessel</v>
      </c>
      <c r="Y53" s="774" t="str">
        <v>-</v>
      </c>
      <c r="Z53" s="774" t="str">
        <v>-</v>
      </c>
      <c r="AA53" s="774">
        <v>0.25</v>
      </c>
      <c r="AB53" s="774" t="str">
        <v>-</v>
      </c>
      <c r="AC53" s="774" t="str">
        <v>-</v>
      </c>
      <c r="AD53" s="702">
        <v>44963</v>
      </c>
      <c r="AE53" s="363" t="str">
        <v>FY24 intra</v>
      </c>
      <c r="AF53" s="363" t="str">
        <v>FY24 LC-130</v>
      </c>
      <c r="AG53" s="316" t="str">
        <v>-</v>
      </c>
      <c r="AH53" s="316" t="str">
        <v>-</v>
      </c>
      <c r="AI53" s="316" t="str">
        <v>-</v>
      </c>
      <c r="AJ53" s="316">
        <v>0.3</v>
      </c>
      <c r="AK53" s="53">
        <v>45328</v>
      </c>
      <c r="AL53" s="53">
        <v>45976</v>
      </c>
      <c r="AM53" s="316">
        <v>648</v>
      </c>
      <c r="AN53" s="316">
        <v>1127</v>
      </c>
      <c r="AO53" s="316" t="str">
        <v>Yes</v>
      </c>
      <c r="AP53" s="53" t="str">
        <v>D. Gibson</v>
      </c>
      <c r="AQ53" s="53">
        <v>44477</v>
      </c>
      <c r="AR53" s="53" t="str">
        <v>I. McEwen</v>
      </c>
      <c r="AS53" s="53">
        <v>44477</v>
      </c>
      <c r="AT53" s="53" t="str">
        <v>-</v>
      </c>
    </row>
    <row r="54" spans="1:46" s="8" customFormat="1" ht="17" x14ac:dyDescent="0.2">
      <c r="A54" s="9">
        <v>1.2</v>
      </c>
      <c r="B54" s="38" t="str">
        <v>Drill</v>
      </c>
      <c r="C54" s="11" t="str">
        <v>Drill Heads - R</v>
      </c>
      <c r="D54" s="3" t="str">
        <v xml:space="preserve">Drill Heads for winterover storage - ICL  - Do Not Freeze </v>
      </c>
      <c r="E54" s="4">
        <v>192</v>
      </c>
      <c r="F54" s="4">
        <v>24</v>
      </c>
      <c r="G54" s="4">
        <v>24</v>
      </c>
      <c r="H54" s="4">
        <v>1</v>
      </c>
      <c r="I54" s="539">
        <v>64</v>
      </c>
      <c r="J54" s="4">
        <v>64</v>
      </c>
      <c r="K54" s="4">
        <v>1060</v>
      </c>
      <c r="L54" s="4">
        <v>1060</v>
      </c>
      <c r="M54" s="4" t="str">
        <v>actual</v>
      </c>
      <c r="N54" s="4" t="str">
        <v>DNF</v>
      </c>
      <c r="O54" s="756" t="str">
        <v xml:space="preserve"> U. Wisc. Madison</v>
      </c>
      <c r="P54" s="758">
        <v>409</v>
      </c>
      <c r="Q54" s="237">
        <v>44440</v>
      </c>
      <c r="R54" s="757">
        <v>44849</v>
      </c>
      <c r="S54" s="757" t="str">
        <v>UWM - PTH</v>
      </c>
      <c r="T54" s="757" t="str">
        <v>Truck</v>
      </c>
      <c r="U54" s="742" t="str">
        <v>PTH - MCM</v>
      </c>
      <c r="V54" s="742" t="str">
        <v>FY23 inter</v>
      </c>
      <c r="W54" s="742" t="str">
        <v>FY23 Vessel</v>
      </c>
      <c r="X54" s="742" t="str">
        <v>USAP Vessel</v>
      </c>
      <c r="Y54" s="774" t="str">
        <v>-</v>
      </c>
      <c r="Z54" s="774" t="str">
        <v>-</v>
      </c>
      <c r="AA54" s="774">
        <v>0.25</v>
      </c>
      <c r="AB54" s="774" t="str">
        <v>-</v>
      </c>
      <c r="AC54" s="774" t="str">
        <v>-</v>
      </c>
      <c r="AD54" s="702">
        <v>44963</v>
      </c>
      <c r="AE54" s="363" t="str">
        <v>FY24 intra</v>
      </c>
      <c r="AF54" s="363" t="str">
        <v>FY24 LC-130</v>
      </c>
      <c r="AG54" s="316" t="str">
        <v>-</v>
      </c>
      <c r="AH54" s="316" t="str">
        <v>-</v>
      </c>
      <c r="AI54" s="316" t="str">
        <v>-</v>
      </c>
      <c r="AJ54" s="316">
        <v>0.3</v>
      </c>
      <c r="AK54" s="53">
        <v>45328</v>
      </c>
      <c r="AL54" s="53">
        <v>45976</v>
      </c>
      <c r="AM54" s="316">
        <v>648</v>
      </c>
      <c r="AN54" s="316">
        <v>1127</v>
      </c>
      <c r="AO54" s="316" t="str">
        <v>Yes</v>
      </c>
      <c r="AP54" s="53" t="str">
        <v>D. Gibson</v>
      </c>
      <c r="AQ54" s="53">
        <v>44477</v>
      </c>
      <c r="AR54" s="53" t="str">
        <v>I. McEwen</v>
      </c>
      <c r="AS54" s="53">
        <v>44477</v>
      </c>
      <c r="AT54" s="53" t="str">
        <v>-</v>
      </c>
    </row>
    <row r="55" spans="1:46" s="8" customFormat="1" ht="17" x14ac:dyDescent="0.2">
      <c r="A55" s="9">
        <v>1.2</v>
      </c>
      <c r="B55" s="38" t="str">
        <v>Logistics</v>
      </c>
      <c r="C55" s="11" t="str">
        <v>Accelerometer Loggers  SPoT 1</v>
      </c>
      <c r="D55" s="3" t="str">
        <v xml:space="preserve">1x1x1 box </v>
      </c>
      <c r="E55" s="4">
        <v>12</v>
      </c>
      <c r="F55" s="4">
        <v>12</v>
      </c>
      <c r="G55" s="4">
        <v>12</v>
      </c>
      <c r="H55" s="4">
        <v>1</v>
      </c>
      <c r="I55" s="539">
        <v>1</v>
      </c>
      <c r="J55" s="4">
        <v>1</v>
      </c>
      <c r="K55" s="4">
        <v>5</v>
      </c>
      <c r="L55" s="4">
        <v>5</v>
      </c>
      <c r="M55" s="4" t="str">
        <v>estimated</v>
      </c>
      <c r="N55" s="4" t="str">
        <v>-</v>
      </c>
      <c r="O55" s="756" t="str">
        <v xml:space="preserve"> U. Wisc. Madison</v>
      </c>
      <c r="P55" s="758">
        <v>62</v>
      </c>
      <c r="Q55" s="878">
        <v>44743</v>
      </c>
      <c r="R55" s="757">
        <v>44805</v>
      </c>
      <c r="S55" s="757" t="str">
        <v>UWM - PTH</v>
      </c>
      <c r="T55" s="757" t="str">
        <v>Truck</v>
      </c>
      <c r="U55" s="742" t="str">
        <v>PTH - CHC</v>
      </c>
      <c r="V55" s="742" t="str">
        <v>FY23 inter</v>
      </c>
      <c r="W55" s="742" t="str">
        <v>FY23 ComSur</v>
      </c>
      <c r="X55" s="742" t="str">
        <v>USAP Air</v>
      </c>
      <c r="Y55" s="774" t="str">
        <v>-</v>
      </c>
      <c r="Z55" s="774" t="str">
        <v>-</v>
      </c>
      <c r="AA55" s="774" t="str">
        <v>-</v>
      </c>
      <c r="AB55" s="774" t="str">
        <v>-</v>
      </c>
      <c r="AC55" s="774">
        <v>0.01</v>
      </c>
      <c r="AD55" s="702">
        <v>44852</v>
      </c>
      <c r="AE55" s="363" t="str">
        <v>FY23 intra</v>
      </c>
      <c r="AF55" s="363" t="str">
        <v>FY23 SPOT 1</v>
      </c>
      <c r="AG55" s="316" t="str">
        <v>-</v>
      </c>
      <c r="AH55" s="316" t="str">
        <v>-</v>
      </c>
      <c r="AI55" s="316" t="str">
        <v>-</v>
      </c>
      <c r="AJ55" s="316">
        <v>0.01</v>
      </c>
      <c r="AK55" s="53">
        <v>44896</v>
      </c>
      <c r="AL55" s="53">
        <v>44896</v>
      </c>
      <c r="AM55" s="316">
        <v>0</v>
      </c>
      <c r="AN55" s="316">
        <v>91</v>
      </c>
      <c r="AO55" s="316" t="str">
        <v>Yes</v>
      </c>
      <c r="AP55" s="53" t="str">
        <v>I. McEwen</v>
      </c>
      <c r="AQ55" s="53">
        <v>44620</v>
      </c>
      <c r="AR55" s="53" t="str">
        <v>D. Tosi</v>
      </c>
      <c r="AS55" s="53">
        <v>44620</v>
      </c>
      <c r="AT55" s="53" t="str">
        <v>-</v>
      </c>
    </row>
    <row r="56" spans="1:46" s="8" customFormat="1" ht="17" x14ac:dyDescent="0.2">
      <c r="A56" s="9">
        <v>1.2</v>
      </c>
      <c r="B56" s="38" t="str">
        <v>Logistics</v>
      </c>
      <c r="C56" s="11" t="str">
        <v>Accelerometer Loggers  SPoT 2</v>
      </c>
      <c r="D56" s="3" t="str">
        <v xml:space="preserve">1x1x1 box </v>
      </c>
      <c r="E56" s="4">
        <v>12</v>
      </c>
      <c r="F56" s="4">
        <v>12</v>
      </c>
      <c r="G56" s="4">
        <v>12</v>
      </c>
      <c r="H56" s="4">
        <v>1</v>
      </c>
      <c r="I56" s="539">
        <v>1</v>
      </c>
      <c r="J56" s="4">
        <v>1</v>
      </c>
      <c r="K56" s="4">
        <v>5</v>
      </c>
      <c r="L56" s="4">
        <v>5</v>
      </c>
      <c r="M56" s="4" t="str">
        <v>estimated</v>
      </c>
      <c r="N56" s="4" t="str">
        <v>-</v>
      </c>
      <c r="O56" s="756" t="str">
        <v xml:space="preserve"> U. Wisc. Madison</v>
      </c>
      <c r="P56" s="758">
        <v>62</v>
      </c>
      <c r="Q56" s="878">
        <v>44743</v>
      </c>
      <c r="R56" s="757">
        <v>44805</v>
      </c>
      <c r="S56" s="757" t="str">
        <v>UWM - PTH</v>
      </c>
      <c r="T56" s="757" t="str">
        <v>Truck</v>
      </c>
      <c r="U56" s="742" t="str">
        <v>PTH - CHC</v>
      </c>
      <c r="V56" s="742" t="str">
        <v>FY23 inter</v>
      </c>
      <c r="W56" s="742" t="str">
        <v>FY23 ComSur</v>
      </c>
      <c r="X56" s="742" t="str">
        <v>USAP Air</v>
      </c>
      <c r="Y56" s="774" t="str">
        <v>-</v>
      </c>
      <c r="Z56" s="774" t="str">
        <v>-</v>
      </c>
      <c r="AA56" s="774" t="str">
        <v>-</v>
      </c>
      <c r="AB56" s="774" t="str">
        <v>-</v>
      </c>
      <c r="AC56" s="774">
        <v>0.01</v>
      </c>
      <c r="AD56" s="702">
        <v>44852</v>
      </c>
      <c r="AE56" s="363" t="str">
        <v>FY23 intra</v>
      </c>
      <c r="AF56" s="363" t="str">
        <v>FY23 SPOT 2</v>
      </c>
      <c r="AG56" s="316" t="str">
        <v>-</v>
      </c>
      <c r="AH56" s="316" t="str">
        <v>-</v>
      </c>
      <c r="AI56" s="316" t="str">
        <v>-</v>
      </c>
      <c r="AJ56" s="316">
        <v>0.01</v>
      </c>
      <c r="AK56" s="53">
        <v>44927</v>
      </c>
      <c r="AL56" s="53">
        <v>44927</v>
      </c>
      <c r="AM56" s="316">
        <v>0</v>
      </c>
      <c r="AN56" s="316">
        <v>122</v>
      </c>
      <c r="AO56" s="316" t="str">
        <v>Yes</v>
      </c>
      <c r="AP56" s="53" t="str">
        <v>I. McEwen</v>
      </c>
      <c r="AQ56" s="53">
        <v>44620</v>
      </c>
      <c r="AR56" s="53" t="str">
        <v>D. Tosi</v>
      </c>
      <c r="AS56" s="53">
        <v>44620</v>
      </c>
      <c r="AT56" s="53" t="str">
        <v>-</v>
      </c>
    </row>
    <row r="57" spans="1:46" s="8" customFormat="1" ht="34" x14ac:dyDescent="0.2">
      <c r="A57" s="9">
        <v>1.2</v>
      </c>
      <c r="B57" s="38" t="str">
        <v>Installation</v>
      </c>
      <c r="C57" s="11" t="str">
        <v>DOM Handling Facility (DHF)</v>
      </c>
      <c r="D57" s="3" t="str">
        <v>Standard vessel shipping - can overwinter in McM.</v>
      </c>
      <c r="E57" s="4">
        <v>240</v>
      </c>
      <c r="F57" s="4">
        <v>96</v>
      </c>
      <c r="G57" s="4">
        <v>96</v>
      </c>
      <c r="H57" s="4">
        <v>1</v>
      </c>
      <c r="I57" s="539">
        <v>1280</v>
      </c>
      <c r="J57" s="4">
        <v>1280</v>
      </c>
      <c r="K57" s="4">
        <v>12000</v>
      </c>
      <c r="L57" s="4">
        <v>12000</v>
      </c>
      <c r="M57" s="4" t="str">
        <v>estimated</v>
      </c>
      <c r="N57" s="4" t="str">
        <v>-</v>
      </c>
      <c r="O57" s="756" t="str">
        <v xml:space="preserve"> U. Wisc. Madison</v>
      </c>
      <c r="P57" s="758">
        <v>50</v>
      </c>
      <c r="Q57" s="878">
        <v>44799</v>
      </c>
      <c r="R57" s="757">
        <v>44849</v>
      </c>
      <c r="S57" s="757" t="str">
        <v>UWM - PTH</v>
      </c>
      <c r="T57" s="757" t="str">
        <v>Truck</v>
      </c>
      <c r="U57" s="742" t="str">
        <v>PTH - MCM</v>
      </c>
      <c r="V57" s="742" t="str">
        <v>FY23 inter</v>
      </c>
      <c r="W57" s="742" t="str">
        <v>FY23 Vessel</v>
      </c>
      <c r="X57" s="742" t="str">
        <v>USAP Vessel</v>
      </c>
      <c r="Y57" s="774" t="str">
        <v>-</v>
      </c>
      <c r="Z57" s="774" t="str">
        <v>-</v>
      </c>
      <c r="AA57" s="774">
        <v>1</v>
      </c>
      <c r="AB57" s="774" t="str">
        <v>-</v>
      </c>
      <c r="AC57" s="774" t="str">
        <v>-</v>
      </c>
      <c r="AD57" s="702">
        <v>44963</v>
      </c>
      <c r="AE57" s="363" t="str">
        <v>FY24 intra</v>
      </c>
      <c r="AF57" s="363" t="str">
        <v>FY24 SPOT 1</v>
      </c>
      <c r="AG57" s="316">
        <v>0.5</v>
      </c>
      <c r="AH57" s="316" t="str">
        <v>-</v>
      </c>
      <c r="AI57" s="316" t="str">
        <v>-</v>
      </c>
      <c r="AJ57" s="316" t="str">
        <v>-</v>
      </c>
      <c r="AK57" s="53">
        <v>45261</v>
      </c>
      <c r="AL57" s="53">
        <v>45629</v>
      </c>
      <c r="AM57" s="316">
        <v>368</v>
      </c>
      <c r="AN57" s="316">
        <v>780</v>
      </c>
      <c r="AO57" s="316" t="str">
        <v>Yes</v>
      </c>
      <c r="AP57" s="53" t="str">
        <v>D. Gibson</v>
      </c>
      <c r="AQ57" s="53">
        <v>44477</v>
      </c>
      <c r="AR57" s="53" t="str">
        <v>I. McEwen</v>
      </c>
      <c r="AS57" s="53">
        <v>44662</v>
      </c>
      <c r="AT57" s="53" t="str">
        <v>Sensor Handling Facility construction scheduled to begin mid-December FY24</v>
      </c>
    </row>
    <row r="58" spans="1:46" s="8" customFormat="1" ht="51" x14ac:dyDescent="0.2">
      <c r="A58" s="9">
        <v>1.4</v>
      </c>
      <c r="B58" s="38" t="str">
        <v>Installation</v>
      </c>
      <c r="C58" s="11" t="str">
        <v>Surface Junction Boxes</v>
      </c>
      <c r="D58" s="3" t="str">
        <v xml:space="preserve">Surface Junction Boxes  can overwinter in McM if shipped earlier. 7 junction boxes </v>
      </c>
      <c r="E58" s="4">
        <v>66</v>
      </c>
      <c r="F58" s="4">
        <v>30</v>
      </c>
      <c r="G58" s="4">
        <v>14</v>
      </c>
      <c r="H58" s="4">
        <v>7</v>
      </c>
      <c r="I58" s="539">
        <v>17</v>
      </c>
      <c r="J58" s="4">
        <v>119</v>
      </c>
      <c r="K58" s="4">
        <v>200</v>
      </c>
      <c r="L58" s="4">
        <v>1400</v>
      </c>
      <c r="M58" s="4" t="str">
        <v>preliminary</v>
      </c>
      <c r="N58" s="4" t="str">
        <v>-</v>
      </c>
      <c r="O58" s="756" t="str">
        <v>MSU</v>
      </c>
      <c r="P58" s="758">
        <v>2</v>
      </c>
      <c r="Q58" s="878">
        <v>44847</v>
      </c>
      <c r="R58" s="757">
        <v>44849</v>
      </c>
      <c r="S58" s="757" t="str">
        <v>MSU - PTH</v>
      </c>
      <c r="T58" s="757" t="str">
        <v>Truck</v>
      </c>
      <c r="U58" s="742" t="str">
        <v>PTH - MCM</v>
      </c>
      <c r="V58" s="742" t="str">
        <v>FY23 inter</v>
      </c>
      <c r="W58" s="742" t="str">
        <v>FY23 Vessel</v>
      </c>
      <c r="X58" s="742" t="str">
        <v>USAP Vessel</v>
      </c>
      <c r="Y58" s="774" t="str">
        <v>-</v>
      </c>
      <c r="Z58" s="774" t="str">
        <v>-</v>
      </c>
      <c r="AA58" s="774">
        <v>1</v>
      </c>
      <c r="AB58" s="774" t="str">
        <v>-</v>
      </c>
      <c r="AC58" s="774" t="str">
        <v>-</v>
      </c>
      <c r="AD58" s="702">
        <v>44963</v>
      </c>
      <c r="AE58" s="363" t="str">
        <v>FY24 intra</v>
      </c>
      <c r="AF58" s="363" t="str">
        <v>FY24 SPOT 1</v>
      </c>
      <c r="AG58" s="316">
        <v>0.5</v>
      </c>
      <c r="AH58" s="316" t="str">
        <v>-</v>
      </c>
      <c r="AI58" s="316" t="str">
        <v>-</v>
      </c>
      <c r="AJ58" s="316" t="str">
        <v>-</v>
      </c>
      <c r="AK58" s="53">
        <v>45261</v>
      </c>
      <c r="AL58" s="53">
        <v>45641</v>
      </c>
      <c r="AM58" s="316">
        <v>380</v>
      </c>
      <c r="AN58" s="316">
        <v>792</v>
      </c>
      <c r="AO58" s="316" t="str">
        <v>Yes</v>
      </c>
      <c r="AP58" s="53" t="str">
        <v>T. DeYoung</v>
      </c>
      <c r="AQ58" s="53">
        <v>44482</v>
      </c>
      <c r="AR58" s="53" t="str">
        <v>D. Tosi</v>
      </c>
      <c r="AS58" s="53">
        <v>44662</v>
      </c>
      <c r="AT58" s="53" t="str">
        <v>Each is 66" x 30" x 14", each is 112 lbs. Assume Folding crate. Simple passive objects, work plan can probably be shifted to increase float.</v>
      </c>
    </row>
    <row r="59" spans="1:46" s="8" customFormat="1" ht="34" x14ac:dyDescent="0.2">
      <c r="A59" s="275">
        <v>1.4</v>
      </c>
      <c r="B59" s="276" t="str">
        <v>Installation</v>
      </c>
      <c r="C59" s="277" t="str">
        <v>Surface Cable Assemblies</v>
      </c>
      <c r="D59" s="278" t="str">
        <v>Palletized wooden cable drums (Qty: 7). Can overwinter in MCM. Do Not Deep Freeze</v>
      </c>
      <c r="E59" s="4">
        <v>48</v>
      </c>
      <c r="F59" s="4">
        <v>65</v>
      </c>
      <c r="G59" s="4">
        <v>71</v>
      </c>
      <c r="H59" s="4">
        <v>7</v>
      </c>
      <c r="I59" s="539">
        <v>129</v>
      </c>
      <c r="J59" s="4">
        <v>903</v>
      </c>
      <c r="K59" s="4">
        <v>1336</v>
      </c>
      <c r="L59" s="4">
        <v>9352</v>
      </c>
      <c r="M59" s="4" t="str">
        <v>actual</v>
      </c>
      <c r="N59" s="4" t="str">
        <v>DNDF [-55C]</v>
      </c>
      <c r="O59" s="756" t="str">
        <v>MSU</v>
      </c>
      <c r="P59" s="758">
        <v>106</v>
      </c>
      <c r="Q59" s="878">
        <v>44743</v>
      </c>
      <c r="R59" s="757">
        <v>44849</v>
      </c>
      <c r="S59" s="757" t="str">
        <v>MSU - PTH</v>
      </c>
      <c r="T59" s="757" t="str">
        <v>Truck</v>
      </c>
      <c r="U59" s="742" t="str">
        <v>PTH - MCM</v>
      </c>
      <c r="V59" s="742" t="str">
        <v>FY23 inter</v>
      </c>
      <c r="W59" s="742" t="str">
        <v>FY23 Vessel</v>
      </c>
      <c r="X59" s="742" t="str">
        <v>USAP Vessel</v>
      </c>
      <c r="Y59" s="774" t="str">
        <v>-</v>
      </c>
      <c r="Z59" s="774" t="str">
        <v>-</v>
      </c>
      <c r="AA59" s="774">
        <v>2</v>
      </c>
      <c r="AB59" s="774" t="str">
        <v>-</v>
      </c>
      <c r="AC59" s="774" t="str">
        <v>-</v>
      </c>
      <c r="AD59" s="702">
        <v>44963</v>
      </c>
      <c r="AE59" s="363" t="str">
        <v>FY25 intra</v>
      </c>
      <c r="AF59" s="363" t="str">
        <v>FY25 SPOT 1</v>
      </c>
      <c r="AG59" s="316">
        <v>0.5</v>
      </c>
      <c r="AH59" s="316" t="str">
        <v>-</v>
      </c>
      <c r="AI59" s="316" t="str">
        <v>-</v>
      </c>
      <c r="AJ59" s="316" t="str">
        <v>-</v>
      </c>
      <c r="AK59" s="53">
        <v>45627</v>
      </c>
      <c r="AL59" s="53">
        <v>45641</v>
      </c>
      <c r="AM59" s="316">
        <v>14</v>
      </c>
      <c r="AN59" s="316">
        <v>792</v>
      </c>
      <c r="AO59" s="316" t="str">
        <v>Yes</v>
      </c>
      <c r="AP59" s="53" t="str">
        <v>T. DeYoung</v>
      </c>
      <c r="AQ59" s="53">
        <v>44482</v>
      </c>
      <c r="AR59" s="53" t="str">
        <v>D. Tosi</v>
      </c>
      <c r="AS59" s="53">
        <v>44662</v>
      </c>
      <c r="AT59" s="53" t="str">
        <v xml:space="preserve">Shipping date early due to storage limitations at MSU. Additional float at Port Hueneme assuming USAP vessel departure.  </v>
      </c>
    </row>
    <row r="60" spans="1:46" s="8" customFormat="1" ht="17" x14ac:dyDescent="0.2">
      <c r="A60" s="9">
        <v>1.2</v>
      </c>
      <c r="B60" s="38" t="str">
        <v>Fuel</v>
      </c>
      <c r="C60" s="11" t="str">
        <v>Field Season 0 Fuel</v>
      </c>
      <c r="D60" s="3" t="str">
        <v>Fuel to support following field seasons</v>
      </c>
      <c r="E60" s="4">
        <v>0</v>
      </c>
      <c r="F60" s="4">
        <v>0</v>
      </c>
      <c r="G60" s="4">
        <v>0</v>
      </c>
      <c r="H60" s="4">
        <v>0</v>
      </c>
      <c r="I60" s="539">
        <v>0</v>
      </c>
      <c r="J60" s="4">
        <v>0</v>
      </c>
      <c r="K60" s="4">
        <v>6.8</v>
      </c>
      <c r="L60" s="4">
        <v>0</v>
      </c>
      <c r="M60" s="4" t="str">
        <v>preliminary</v>
      </c>
      <c r="N60" s="4" t="str">
        <v>-</v>
      </c>
      <c r="O60" s="756" t="str">
        <v>-</v>
      </c>
      <c r="P60" s="758" t="str">
        <v>-</v>
      </c>
      <c r="Q60" s="237" t="str">
        <v>-</v>
      </c>
      <c r="R60" s="757" t="str">
        <v>-</v>
      </c>
      <c r="S60" s="757" t="str">
        <v>-</v>
      </c>
      <c r="T60" s="757" t="str">
        <v>-</v>
      </c>
      <c r="U60" s="742" t="str">
        <v>-</v>
      </c>
      <c r="V60" s="742" t="str">
        <v>FY23 inter</v>
      </c>
      <c r="W60" s="742" t="str">
        <v>-</v>
      </c>
      <c r="X60" s="742" t="str">
        <v>-</v>
      </c>
      <c r="Y60" s="774" t="str">
        <v>-</v>
      </c>
      <c r="Z60" s="774" t="str">
        <v>-</v>
      </c>
      <c r="AA60" s="774" t="str">
        <v>-</v>
      </c>
      <c r="AB60" s="774" t="str">
        <v>-</v>
      </c>
      <c r="AC60" s="774">
        <v>0</v>
      </c>
      <c r="AD60" s="702">
        <v>44866</v>
      </c>
      <c r="AE60" s="363" t="str">
        <v>FY23 intra</v>
      </c>
      <c r="AF60" s="363" t="str">
        <v>FY23 LC-Tanker</v>
      </c>
      <c r="AG60" s="316" t="str">
        <v>-</v>
      </c>
      <c r="AH60" s="316" t="str">
        <v>-</v>
      </c>
      <c r="AI60" s="316" t="str">
        <v>-</v>
      </c>
      <c r="AJ60" s="316">
        <v>0</v>
      </c>
      <c r="AK60" s="53">
        <v>44896</v>
      </c>
      <c r="AL60" s="53">
        <v>45261</v>
      </c>
      <c r="AM60" s="316">
        <v>365</v>
      </c>
      <c r="AN60" s="316" t="str">
        <v>-</v>
      </c>
      <c r="AO60" s="316" t="str">
        <v>Yes</v>
      </c>
      <c r="AP60" s="53" t="str">
        <v>T. Benson</v>
      </c>
      <c r="AQ60" s="53">
        <v>44483</v>
      </c>
      <c r="AR60" s="53" t="str">
        <v>I. McEwen</v>
      </c>
      <c r="AS60" s="53">
        <v>44483</v>
      </c>
      <c r="AT60" s="53" t="str">
        <v>-</v>
      </c>
    </row>
    <row r="61" spans="1:46" s="8" customFormat="1" x14ac:dyDescent="0.2">
      <c r="A61" s="9"/>
      <c r="B61" s="38"/>
      <c r="C61" s="11"/>
      <c r="D61" s="3"/>
      <c r="E61" s="4"/>
      <c r="F61" s="4"/>
      <c r="G61" s="4"/>
      <c r="H61" s="4"/>
      <c r="I61" s="539"/>
      <c r="J61" s="4"/>
      <c r="K61" s="4"/>
      <c r="L61" s="4"/>
      <c r="M61" s="4"/>
      <c r="N61" s="4"/>
      <c r="O61" s="756"/>
      <c r="P61" s="758"/>
      <c r="Q61" s="237"/>
      <c r="R61" s="757"/>
      <c r="S61" s="757"/>
      <c r="T61" s="757"/>
      <c r="U61" s="742"/>
      <c r="V61" s="742"/>
      <c r="W61" s="742"/>
      <c r="X61" s="742"/>
      <c r="Y61" s="774"/>
      <c r="Z61" s="774"/>
      <c r="AA61" s="774"/>
      <c r="AB61" s="774"/>
      <c r="AC61" s="774"/>
      <c r="AD61" s="702"/>
      <c r="AE61" s="363"/>
      <c r="AF61" s="363"/>
      <c r="AG61" s="316"/>
      <c r="AH61" s="316"/>
      <c r="AI61" s="316"/>
      <c r="AJ61" s="316"/>
      <c r="AK61" s="53"/>
      <c r="AL61" s="53"/>
      <c r="AM61" s="316"/>
      <c r="AN61" s="316"/>
      <c r="AO61" s="316"/>
      <c r="AP61" s="53"/>
      <c r="AQ61" s="53"/>
      <c r="AR61" s="53"/>
      <c r="AS61" s="53"/>
      <c r="AT61" s="53"/>
    </row>
    <row r="62" spans="1:46" s="8" customFormat="1" x14ac:dyDescent="0.2">
      <c r="A62" s="9"/>
      <c r="B62" s="38"/>
      <c r="C62" s="11"/>
      <c r="D62" s="3"/>
      <c r="E62" s="4"/>
      <c r="F62" s="4"/>
      <c r="G62" s="4"/>
      <c r="H62" s="4"/>
      <c r="I62" s="539"/>
      <c r="J62" s="4"/>
      <c r="K62" s="4"/>
      <c r="L62" s="4"/>
      <c r="M62" s="4"/>
      <c r="N62" s="4"/>
      <c r="O62" s="756"/>
      <c r="P62" s="758"/>
      <c r="Q62" s="237"/>
      <c r="R62" s="757"/>
      <c r="S62" s="757"/>
      <c r="T62" s="757"/>
      <c r="U62" s="742"/>
      <c r="V62" s="742"/>
      <c r="W62" s="742"/>
      <c r="X62" s="742"/>
      <c r="Y62" s="774"/>
      <c r="Z62" s="774"/>
      <c r="AA62" s="774"/>
      <c r="AB62" s="774"/>
      <c r="AC62" s="774"/>
      <c r="AD62" s="702"/>
      <c r="AE62" s="363"/>
      <c r="AF62" s="363"/>
      <c r="AG62" s="316"/>
      <c r="AH62" s="316"/>
      <c r="AI62" s="316"/>
      <c r="AJ62" s="316"/>
      <c r="AK62" s="53"/>
      <c r="AL62" s="53"/>
      <c r="AM62" s="316"/>
      <c r="AN62" s="316"/>
      <c r="AO62" s="316"/>
      <c r="AP62" s="53"/>
      <c r="AQ62" s="53"/>
      <c r="AR62" s="53"/>
      <c r="AS62" s="53"/>
      <c r="AT62" s="53"/>
    </row>
    <row r="63" spans="1:46" s="8" customFormat="1" ht="17" thickBot="1" x14ac:dyDescent="0.25">
      <c r="A63" s="9"/>
      <c r="B63" s="38"/>
      <c r="C63" s="11"/>
      <c r="D63" s="3"/>
      <c r="E63" s="4"/>
      <c r="F63" s="4"/>
      <c r="G63" s="4"/>
      <c r="H63" s="329"/>
      <c r="I63" s="580"/>
      <c r="J63" s="488"/>
      <c r="K63" s="488"/>
      <c r="L63" s="488"/>
      <c r="M63" s="488"/>
      <c r="N63" s="488"/>
      <c r="O63" s="489"/>
      <c r="P63" s="490"/>
      <c r="Q63" s="491"/>
      <c r="R63" s="492"/>
      <c r="S63" s="492"/>
      <c r="T63" s="492"/>
      <c r="U63" s="493"/>
      <c r="V63" s="493"/>
      <c r="W63" s="493"/>
      <c r="X63" s="493"/>
      <c r="Y63" s="543"/>
      <c r="Z63" s="543"/>
      <c r="AA63" s="543"/>
      <c r="AB63" s="543"/>
      <c r="AC63" s="543"/>
      <c r="AD63" s="552"/>
      <c r="AE63" s="542"/>
      <c r="AF63" s="542"/>
      <c r="AG63" s="494"/>
      <c r="AH63" s="494"/>
      <c r="AI63" s="494"/>
      <c r="AJ63" s="494"/>
      <c r="AK63" s="53"/>
      <c r="AL63" s="53"/>
      <c r="AM63" s="316"/>
      <c r="AN63" s="316"/>
      <c r="AO63" s="316"/>
      <c r="AP63" s="53"/>
      <c r="AQ63" s="53"/>
      <c r="AR63" s="53"/>
      <c r="AS63" s="53"/>
      <c r="AT63" s="53"/>
    </row>
    <row r="64" spans="1:46" ht="17" thickBot="1" x14ac:dyDescent="0.25">
      <c r="A64" s="796"/>
      <c r="B64" s="796"/>
      <c r="C64" s="406"/>
      <c r="D64" s="406"/>
      <c r="E64" s="796"/>
      <c r="F64" s="796"/>
      <c r="G64" s="796"/>
      <c r="H64" s="797"/>
      <c r="I64" s="581"/>
      <c r="J64" s="319">
        <f>SUM(J48:J63)</f>
        <v>5472</v>
      </c>
      <c r="K64" s="8"/>
      <c r="L64" s="319">
        <f>SUM(L48:L63)</f>
        <v>73642</v>
      </c>
      <c r="M64" s="8"/>
      <c r="N64" s="8"/>
      <c r="O64" s="8"/>
      <c r="P64" s="522"/>
      <c r="Q64" s="54"/>
      <c r="R64" s="54"/>
      <c r="S64" s="54"/>
      <c r="T64" s="8"/>
      <c r="U64" s="8"/>
      <c r="V64" s="8"/>
      <c r="W64" s="8"/>
      <c r="X64" s="319">
        <f>AB64+AA64+(Y64*2)+(Z64*2)</f>
        <v>6.25</v>
      </c>
      <c r="Y64" s="317">
        <f>SUM(Y48:Y63)</f>
        <v>0</v>
      </c>
      <c r="Z64" s="317">
        <f>SUM(Z48:Z63)</f>
        <v>0</v>
      </c>
      <c r="AA64" s="317">
        <f>SUM(AA48:AA63)</f>
        <v>5.75</v>
      </c>
      <c r="AB64" s="317">
        <f>SUM(AB48:AB63)</f>
        <v>0.5</v>
      </c>
      <c r="AC64" s="319">
        <f t="shared" ref="AC64" si="0">SUM(AC48:AC63)</f>
        <v>0.77</v>
      </c>
      <c r="AD64" s="548"/>
      <c r="AE64" s="798"/>
      <c r="AF64" s="798"/>
      <c r="AG64" s="786"/>
      <c r="AH64" s="548"/>
      <c r="AI64" s="798"/>
      <c r="AJ64" s="798"/>
      <c r="AK64" s="786"/>
      <c r="AL64" s="786"/>
      <c r="AM64" s="786"/>
      <c r="AN64" s="786"/>
      <c r="AO64" s="786"/>
      <c r="AP64" s="798"/>
      <c r="AQ64" s="786"/>
      <c r="AR64" s="799"/>
      <c r="AS64" s="796"/>
      <c r="AT64" s="796"/>
    </row>
    <row r="65" spans="1:46" x14ac:dyDescent="0.2">
      <c r="A65" s="796"/>
      <c r="B65" s="796"/>
      <c r="C65" s="406"/>
      <c r="D65" s="406"/>
      <c r="E65" s="796"/>
      <c r="F65" s="796"/>
      <c r="G65" s="796"/>
      <c r="H65" s="796"/>
      <c r="I65" s="522"/>
      <c r="J65" s="54" t="s">
        <v>478</v>
      </c>
      <c r="K65" s="8"/>
      <c r="L65" s="8" t="s">
        <v>479</v>
      </c>
      <c r="M65" s="8"/>
      <c r="N65" s="8"/>
      <c r="O65" s="8"/>
      <c r="P65" s="522"/>
      <c r="Q65" s="54"/>
      <c r="R65" s="54"/>
      <c r="S65" s="54"/>
      <c r="T65" s="8"/>
      <c r="U65" s="8"/>
      <c r="V65" s="8"/>
      <c r="W65" s="8"/>
      <c r="X65" s="54" t="s">
        <v>485</v>
      </c>
      <c r="Y65" s="8" t="s">
        <v>486</v>
      </c>
      <c r="Z65" s="8" t="s">
        <v>487</v>
      </c>
      <c r="AA65" s="59" t="s">
        <v>488</v>
      </c>
      <c r="AB65" s="59" t="s">
        <v>489</v>
      </c>
      <c r="AC65" s="554" t="s">
        <v>484</v>
      </c>
      <c r="AD65" s="548"/>
      <c r="AE65" s="798"/>
      <c r="AF65" s="798"/>
      <c r="AG65" s="786"/>
      <c r="AH65" s="548"/>
      <c r="AI65" s="798"/>
      <c r="AJ65" s="798"/>
      <c r="AK65" s="786"/>
      <c r="AL65" s="786"/>
      <c r="AM65" s="786"/>
      <c r="AN65" s="786"/>
      <c r="AO65" s="786"/>
      <c r="AP65" s="798"/>
      <c r="AQ65" s="786"/>
      <c r="AR65" s="799"/>
      <c r="AS65" s="796"/>
      <c r="AT65" s="796"/>
    </row>
    <row r="66" spans="1:46" x14ac:dyDescent="0.2">
      <c r="A66" s="796"/>
      <c r="B66" s="796"/>
      <c r="C66" s="406"/>
      <c r="D66" s="406"/>
      <c r="E66" s="796"/>
      <c r="F66" s="796"/>
      <c r="G66" s="796"/>
      <c r="H66" s="796"/>
      <c r="I66" s="800"/>
      <c r="J66" s="796"/>
      <c r="K66" s="796"/>
      <c r="L66" s="801"/>
      <c r="M66" s="796"/>
      <c r="N66" s="796"/>
      <c r="O66" s="796"/>
      <c r="P66" s="800"/>
      <c r="Q66" s="798"/>
      <c r="R66" s="798"/>
      <c r="S66" s="798"/>
      <c r="T66" s="796"/>
      <c r="U66" s="796"/>
      <c r="V66" s="796"/>
      <c r="W66" s="796"/>
      <c r="X66" s="796"/>
      <c r="Y66" s="786"/>
      <c r="Z66" s="786"/>
      <c r="AA66" s="786"/>
      <c r="AB66" s="786"/>
      <c r="AC66" s="786"/>
      <c r="AD66" s="798"/>
      <c r="AE66" s="786"/>
      <c r="AF66" s="786"/>
      <c r="AG66" s="786"/>
      <c r="AH66" s="786"/>
      <c r="AK66" s="798"/>
      <c r="AL66" s="798"/>
      <c r="AM66" s="786"/>
      <c r="AN66" s="786"/>
      <c r="AO66" s="786"/>
      <c r="AP66" s="798"/>
      <c r="AQ66" s="786"/>
      <c r="AR66" s="799"/>
      <c r="AS66" s="796"/>
      <c r="AT66" s="796"/>
    </row>
    <row r="67" spans="1:46" x14ac:dyDescent="0.2">
      <c r="A67" s="796"/>
      <c r="B67" s="796"/>
      <c r="C67" s="802"/>
      <c r="D67" s="802"/>
      <c r="E67" s="796"/>
      <c r="F67" s="796"/>
      <c r="G67" s="796"/>
      <c r="H67" s="796"/>
      <c r="I67" s="800"/>
      <c r="J67" s="796"/>
      <c r="K67" s="796"/>
      <c r="L67" s="801"/>
      <c r="M67" s="796"/>
      <c r="N67" s="796"/>
      <c r="O67" s="796"/>
      <c r="P67" s="800"/>
      <c r="Q67" s="798"/>
      <c r="R67" s="798"/>
      <c r="S67" s="798"/>
      <c r="T67" s="796"/>
      <c r="U67" s="796"/>
      <c r="V67" s="796"/>
      <c r="W67" s="796"/>
      <c r="X67" s="796"/>
      <c r="Y67" s="786"/>
      <c r="Z67" s="786"/>
      <c r="AA67" s="786"/>
      <c r="AB67" s="786"/>
      <c r="AC67" s="786"/>
      <c r="AD67" s="798"/>
      <c r="AE67" s="786"/>
      <c r="AF67" s="786"/>
      <c r="AG67" s="786"/>
      <c r="AH67" s="786"/>
      <c r="AK67" s="798"/>
      <c r="AL67" s="798"/>
      <c r="AM67" s="786"/>
      <c r="AN67" s="786"/>
      <c r="AO67" s="786"/>
      <c r="AP67" s="798"/>
      <c r="AQ67" s="786"/>
      <c r="AR67" s="799"/>
      <c r="AS67" s="796"/>
      <c r="AT67" s="796"/>
    </row>
    <row r="68" spans="1:46" s="425" customFormat="1" ht="19" x14ac:dyDescent="0.25">
      <c r="I68" s="525"/>
      <c r="P68" s="525"/>
      <c r="Q68" s="426"/>
      <c r="R68" s="426"/>
      <c r="S68" s="426"/>
      <c r="Y68" s="786"/>
      <c r="Z68" s="433"/>
      <c r="AA68" s="786"/>
      <c r="AB68" s="433"/>
      <c r="AC68" s="433"/>
      <c r="AD68" s="426"/>
      <c r="AE68" s="433"/>
      <c r="AF68" s="433"/>
      <c r="AG68" s="433"/>
      <c r="AH68" s="433"/>
      <c r="AI68" s="433"/>
      <c r="AJ68" s="549"/>
      <c r="AK68" s="429"/>
      <c r="AL68" s="429"/>
      <c r="AM68" s="429"/>
      <c r="AN68" s="429"/>
      <c r="AP68" s="426"/>
      <c r="AR68" s="537"/>
    </row>
    <row r="69" spans="1:46" s="425" customFormat="1" ht="19" x14ac:dyDescent="0.25">
      <c r="I69" s="525"/>
      <c r="P69" s="525"/>
      <c r="Q69" s="426"/>
      <c r="S69" s="426"/>
      <c r="Y69" s="433"/>
      <c r="Z69" s="433"/>
      <c r="AA69" s="433"/>
      <c r="AB69" s="433"/>
      <c r="AC69" s="433"/>
      <c r="AD69" s="426"/>
      <c r="AE69" s="433"/>
      <c r="AF69" s="433"/>
      <c r="AG69" s="433"/>
      <c r="AH69" s="433"/>
      <c r="AI69" s="433"/>
      <c r="AJ69" s="549"/>
      <c r="AK69" s="426"/>
      <c r="AL69" s="426"/>
      <c r="AM69" s="426"/>
      <c r="AN69" s="426"/>
      <c r="AP69" s="426"/>
      <c r="AR69" s="537"/>
    </row>
    <row r="70" spans="1:46" s="60" customFormat="1" ht="19" x14ac:dyDescent="0.2">
      <c r="A70" s="272"/>
      <c r="B70" s="282"/>
      <c r="C70" s="279"/>
      <c r="D70" s="280"/>
      <c r="E70" s="281"/>
      <c r="F70" s="34"/>
      <c r="G70" s="34"/>
      <c r="H70" s="40"/>
      <c r="I70" s="578"/>
      <c r="J70" s="41"/>
      <c r="K70" s="41"/>
      <c r="L70" s="34"/>
      <c r="M70" s="34"/>
      <c r="N70" s="34"/>
      <c r="O70" s="42"/>
      <c r="P70" s="42"/>
      <c r="Q70" s="52"/>
      <c r="R70" s="52"/>
      <c r="S70" s="52"/>
      <c r="T70" s="52"/>
      <c r="U70" s="43"/>
      <c r="V70" s="44"/>
      <c r="W70" s="44"/>
      <c r="X70" s="44"/>
      <c r="Y70" s="369"/>
      <c r="Z70" s="369"/>
      <c r="AA70" s="369"/>
      <c r="AB70" s="369"/>
      <c r="AC70" s="369"/>
      <c r="AD70" s="431"/>
      <c r="AE70" s="431"/>
      <c r="AF70" s="431"/>
      <c r="AG70" s="547"/>
      <c r="AH70" s="547"/>
      <c r="AI70" s="547"/>
      <c r="AJ70" s="547"/>
      <c r="AK70" s="260"/>
      <c r="AL70" s="52"/>
      <c r="AM70" s="369"/>
      <c r="AN70" s="369"/>
      <c r="AO70" s="386"/>
      <c r="AP70" s="386"/>
      <c r="AQ70" s="533"/>
      <c r="AR70" s="533"/>
      <c r="AS70" s="533"/>
      <c r="AT70" s="533"/>
    </row>
    <row r="71" spans="1:46" s="60" customFormat="1" ht="20" x14ac:dyDescent="0.2">
      <c r="A71" s="388" t="s">
        <v>175</v>
      </c>
      <c r="B71" s="388"/>
      <c r="C71" s="388"/>
      <c r="D71" s="389"/>
      <c r="E71" s="389"/>
      <c r="F71" s="389"/>
      <c r="G71" s="389"/>
      <c r="H71" s="389"/>
      <c r="I71" s="582"/>
      <c r="J71" s="389"/>
      <c r="K71" s="389"/>
      <c r="L71" s="389"/>
      <c r="M71" s="389"/>
      <c r="N71" s="389"/>
      <c r="O71" s="389"/>
      <c r="P71" s="389"/>
      <c r="Q71" s="560"/>
      <c r="R71" s="560"/>
      <c r="S71" s="560"/>
      <c r="T71" s="560"/>
      <c r="U71" s="389"/>
      <c r="V71" s="389"/>
      <c r="W71" s="389"/>
      <c r="X71" s="389"/>
      <c r="Y71" s="561"/>
      <c r="Z71" s="561"/>
      <c r="AA71" s="561"/>
      <c r="AB71" s="561"/>
      <c r="AC71" s="561"/>
      <c r="AD71" s="560"/>
      <c r="AE71" s="389"/>
      <c r="AF71" s="389"/>
      <c r="AG71" s="561"/>
      <c r="AH71" s="561"/>
      <c r="AI71" s="561"/>
      <c r="AJ71" s="561"/>
      <c r="AK71" s="560"/>
      <c r="AL71" s="560"/>
      <c r="AM71" s="389"/>
      <c r="AN71" s="389"/>
      <c r="AO71" s="562"/>
      <c r="AP71" s="563"/>
      <c r="AQ71" s="564"/>
      <c r="AR71" s="564"/>
      <c r="AS71" s="564"/>
      <c r="AT71" s="564"/>
    </row>
    <row r="72" spans="1:46" s="8" customFormat="1" ht="34" x14ac:dyDescent="0.2">
      <c r="A72" s="9" cm="1">
        <f t="array" ref="A72:AT90">_xlfn._xlws.FILTER(cargo_table, intra_shipping_label=A71)</f>
        <v>1.2</v>
      </c>
      <c r="B72" s="38" t="str">
        <v>Drill</v>
      </c>
      <c r="C72" s="11" t="str">
        <v>Gen 1 - housed in 20' container</v>
      </c>
      <c r="D72" s="3" t="str">
        <v>Power generation unit 1 housed in 20' shipping container</v>
      </c>
      <c r="E72" s="4">
        <v>240</v>
      </c>
      <c r="F72" s="4">
        <v>96</v>
      </c>
      <c r="G72" s="4">
        <v>102</v>
      </c>
      <c r="H72" s="4">
        <v>1</v>
      </c>
      <c r="I72" s="539">
        <v>1360</v>
      </c>
      <c r="J72" s="4">
        <v>1360</v>
      </c>
      <c r="K72" s="4">
        <v>22000</v>
      </c>
      <c r="L72" s="4">
        <v>22000</v>
      </c>
      <c r="M72" s="4" t="str">
        <v>actual</v>
      </c>
      <c r="N72" s="4" t="str">
        <v>-</v>
      </c>
      <c r="O72" s="756" t="str">
        <v xml:space="preserve"> U. Wisc. Madison</v>
      </c>
      <c r="P72" s="758" t="str">
        <v>In McMurdo</v>
      </c>
      <c r="Q72" s="237">
        <v>43867</v>
      </c>
      <c r="R72" s="757" t="str">
        <v>-</v>
      </c>
      <c r="S72" s="757" t="str">
        <v>In McMurdo</v>
      </c>
      <c r="T72" s="757" t="str">
        <v>-</v>
      </c>
      <c r="U72" s="742" t="str">
        <v>In McMurdo</v>
      </c>
      <c r="V72" s="742" t="str">
        <v>In McMurdo</v>
      </c>
      <c r="W72" s="742" t="str">
        <v>in McMurdo</v>
      </c>
      <c r="X72" s="742" t="str">
        <v>in McMurdo</v>
      </c>
      <c r="Y72" s="774" t="str">
        <v>-</v>
      </c>
      <c r="Z72" s="774" t="str">
        <v>-</v>
      </c>
      <c r="AA72" s="774" t="str">
        <v>-</v>
      </c>
      <c r="AB72" s="774" t="str">
        <v>-</v>
      </c>
      <c r="AC72" s="774" t="str">
        <v>-</v>
      </c>
      <c r="AD72" s="702" t="str">
        <v>In McMurdo</v>
      </c>
      <c r="AE72" s="363" t="str">
        <v>FY23 intra</v>
      </c>
      <c r="AF72" s="363" t="str">
        <v>FY23 SPOT 2</v>
      </c>
      <c r="AG72" s="316" t="str">
        <v>-</v>
      </c>
      <c r="AH72" s="316">
        <v>0.5</v>
      </c>
      <c r="AI72" s="316" t="str">
        <v>-</v>
      </c>
      <c r="AJ72" s="316" t="str">
        <v>-</v>
      </c>
      <c r="AK72" s="53">
        <v>44927</v>
      </c>
      <c r="AL72" s="53">
        <v>45261</v>
      </c>
      <c r="AM72" s="316">
        <v>334</v>
      </c>
      <c r="AN72" s="316" t="str">
        <v>-</v>
      </c>
      <c r="AO72" s="316" t="str">
        <v>Yes</v>
      </c>
      <c r="AP72" s="53" t="str">
        <v>D. Gibson</v>
      </c>
      <c r="AQ72" s="53">
        <v>44475</v>
      </c>
      <c r="AR72" s="53" t="str">
        <v>I. McEwen</v>
      </c>
      <c r="AS72" s="53">
        <v>44475</v>
      </c>
      <c r="AT72" s="53" t="str">
        <v>Will require crane for onload/offload  - use belly band to support container sidewalls during lift.</v>
      </c>
    </row>
    <row r="73" spans="1:46" s="8" customFormat="1" ht="68" x14ac:dyDescent="0.2">
      <c r="A73" s="9">
        <v>1.2</v>
      </c>
      <c r="B73" s="38" t="str">
        <v>Drill</v>
      </c>
      <c r="C73" s="11" t="str">
        <v>Gen 3 - housed in 20' container</v>
      </c>
      <c r="D73" s="3" t="str">
        <v>Power generation unit 3 housed in 20' shipping container</v>
      </c>
      <c r="E73" s="4">
        <v>240</v>
      </c>
      <c r="F73" s="4">
        <v>96</v>
      </c>
      <c r="G73" s="4">
        <v>102</v>
      </c>
      <c r="H73" s="4">
        <v>1</v>
      </c>
      <c r="I73" s="539">
        <v>1360</v>
      </c>
      <c r="J73" s="4">
        <v>1360</v>
      </c>
      <c r="K73" s="4">
        <v>22000</v>
      </c>
      <c r="L73" s="4">
        <v>22000</v>
      </c>
      <c r="M73" s="4" t="str">
        <v>actual</v>
      </c>
      <c r="N73" s="4" t="str">
        <v>-</v>
      </c>
      <c r="O73" s="756" t="str">
        <v xml:space="preserve"> U. Wisc. Madison</v>
      </c>
      <c r="P73" s="758" t="str">
        <v>In McMurdo</v>
      </c>
      <c r="Q73" s="237">
        <v>43845</v>
      </c>
      <c r="R73" s="757" t="str">
        <v>-</v>
      </c>
      <c r="S73" s="757" t="str">
        <v>In McMurdo</v>
      </c>
      <c r="T73" s="757" t="str">
        <v>-</v>
      </c>
      <c r="U73" s="742" t="str">
        <v>In McMurdo</v>
      </c>
      <c r="V73" s="742" t="str">
        <v>In McMurdo</v>
      </c>
      <c r="W73" s="742" t="str">
        <v>in McMurdo</v>
      </c>
      <c r="X73" s="742" t="str">
        <v>in McMurdo</v>
      </c>
      <c r="Y73" s="774" t="str">
        <v>-</v>
      </c>
      <c r="Z73" s="774" t="str">
        <v>-</v>
      </c>
      <c r="AA73" s="774" t="str">
        <v>-</v>
      </c>
      <c r="AB73" s="774" t="str">
        <v>-</v>
      </c>
      <c r="AC73" s="774" t="str">
        <v>-</v>
      </c>
      <c r="AD73" s="702" t="str">
        <v>In McMurdo</v>
      </c>
      <c r="AE73" s="363" t="str">
        <v>FY23 intra</v>
      </c>
      <c r="AF73" s="363" t="str">
        <v>FY23 SPOT 2</v>
      </c>
      <c r="AG73" s="316" t="str">
        <v>-</v>
      </c>
      <c r="AH73" s="316">
        <v>0.5</v>
      </c>
      <c r="AI73" s="316" t="str">
        <v>-</v>
      </c>
      <c r="AJ73" s="316" t="str">
        <v>-</v>
      </c>
      <c r="AK73" s="53">
        <v>44927</v>
      </c>
      <c r="AL73" s="53">
        <v>45261</v>
      </c>
      <c r="AM73" s="316">
        <v>334</v>
      </c>
      <c r="AN73" s="316" t="str">
        <v>-</v>
      </c>
      <c r="AO73" s="316" t="str">
        <v>Yes</v>
      </c>
      <c r="AP73" s="53" t="str">
        <v>D. Gibson</v>
      </c>
      <c r="AQ73" s="53">
        <v>44475</v>
      </c>
      <c r="AR73" s="53" t="str">
        <v>I. McEwen</v>
      </c>
      <c r="AS73" s="53">
        <v>44475</v>
      </c>
      <c r="AT73" s="53" t="str">
        <v>Gens 2 &amp; 3 need to be tranferred from ISO2 sleds that are limited to use on improved surfaces only. Will require crane for onload/offload  - use belly band to support container sidewalls during lift.</v>
      </c>
    </row>
    <row r="74" spans="1:46" s="8" customFormat="1" ht="34" x14ac:dyDescent="0.2">
      <c r="A74" s="9">
        <v>1.2</v>
      </c>
      <c r="B74" s="38" t="str">
        <v>Drill</v>
      </c>
      <c r="C74" s="11" t="str">
        <v>Gen Discharge Hoods (bermed)</v>
      </c>
      <c r="D74" s="3" t="str">
        <v>Generator air discharge hoods , sheet metal, loose - stored on berm at SPOTSA</v>
      </c>
      <c r="E74" s="4">
        <v>108</v>
      </c>
      <c r="F74" s="4">
        <v>53</v>
      </c>
      <c r="G74" s="4">
        <v>60</v>
      </c>
      <c r="H74" s="4">
        <v>2</v>
      </c>
      <c r="I74" s="539">
        <v>199</v>
      </c>
      <c r="J74" s="4">
        <v>398</v>
      </c>
      <c r="K74" s="4">
        <v>330</v>
      </c>
      <c r="L74" s="4">
        <v>660</v>
      </c>
      <c r="M74" s="4" t="str">
        <v>actual</v>
      </c>
      <c r="N74" s="4" t="str">
        <v>-</v>
      </c>
      <c r="O74" s="756" t="str">
        <v xml:space="preserve"> U. Wisc. Madison</v>
      </c>
      <c r="P74" s="758" t="str">
        <v>In McMurdo</v>
      </c>
      <c r="Q74" s="237">
        <v>43814</v>
      </c>
      <c r="R74" s="757" t="str">
        <v>-</v>
      </c>
      <c r="S74" s="757" t="str">
        <v>In McMurdo</v>
      </c>
      <c r="T74" s="757" t="str">
        <v>-</v>
      </c>
      <c r="U74" s="742" t="str">
        <v>In McMurdo</v>
      </c>
      <c r="V74" s="742" t="str">
        <v>In McMurdo</v>
      </c>
      <c r="W74" s="742" t="str">
        <v>in McMurdo</v>
      </c>
      <c r="X74" s="742" t="str">
        <v>in McMurdo</v>
      </c>
      <c r="Y74" s="774" t="str">
        <v>-</v>
      </c>
      <c r="Z74" s="774" t="str">
        <v>-</v>
      </c>
      <c r="AA74" s="774" t="str">
        <v>-</v>
      </c>
      <c r="AB74" s="774" t="str">
        <v>-</v>
      </c>
      <c r="AC74" s="774" t="str">
        <v>-</v>
      </c>
      <c r="AD74" s="702" t="str">
        <v>In McMurdo</v>
      </c>
      <c r="AE74" s="363" t="str">
        <v>FY23 intra</v>
      </c>
      <c r="AF74" s="363" t="str">
        <v>FY23 SPOT 1</v>
      </c>
      <c r="AG74" s="316">
        <v>0.25</v>
      </c>
      <c r="AH74" s="316" t="str">
        <v>-</v>
      </c>
      <c r="AI74" s="316" t="str">
        <v>-</v>
      </c>
      <c r="AJ74" s="316" t="str">
        <v>-</v>
      </c>
      <c r="AK74" s="53">
        <v>44896</v>
      </c>
      <c r="AL74" s="53">
        <v>45272</v>
      </c>
      <c r="AM74" s="316">
        <v>376</v>
      </c>
      <c r="AN74" s="316" t="str">
        <v>-</v>
      </c>
      <c r="AO74" s="316" t="str">
        <v>No</v>
      </c>
      <c r="AP74" s="53" t="str">
        <v>D. Gibson</v>
      </c>
      <c r="AQ74" s="53">
        <v>44477</v>
      </c>
      <c r="AR74" s="53" t="str">
        <v>I. McEwen</v>
      </c>
      <c r="AS74" s="53">
        <v>44477</v>
      </c>
      <c r="AT74" s="53" t="str">
        <v>Testing/limited operation of Gens can be accomplished without hoods - Hoods required for the drill season</v>
      </c>
    </row>
    <row r="75" spans="1:46" s="8" customFormat="1" ht="17" x14ac:dyDescent="0.2">
      <c r="A75" s="275">
        <v>1.2</v>
      </c>
      <c r="B75" s="276" t="str">
        <v>Drill</v>
      </c>
      <c r="C75" s="277" t="str">
        <v>Firn Drill</v>
      </c>
      <c r="D75" s="278" t="str">
        <v xml:space="preserve">Bermed in McM - will require McM fork or crane support. </v>
      </c>
      <c r="E75" s="4">
        <v>264</v>
      </c>
      <c r="F75" s="4">
        <v>94</v>
      </c>
      <c r="G75" s="4">
        <v>97</v>
      </c>
      <c r="H75" s="4">
        <v>1</v>
      </c>
      <c r="I75" s="539">
        <v>1394</v>
      </c>
      <c r="J75" s="4">
        <v>1394</v>
      </c>
      <c r="K75" s="4">
        <v>12000</v>
      </c>
      <c r="L75" s="4">
        <v>12000</v>
      </c>
      <c r="M75" s="4" t="str">
        <v>actual</v>
      </c>
      <c r="N75" s="4" t="str">
        <v>-</v>
      </c>
      <c r="O75" s="756" t="str">
        <v xml:space="preserve"> U. Wisc. Madison</v>
      </c>
      <c r="P75" s="758" t="str">
        <v>In McMurdo</v>
      </c>
      <c r="Q75" s="237">
        <v>43845</v>
      </c>
      <c r="R75" s="757" t="str">
        <v>-</v>
      </c>
      <c r="S75" s="757" t="str">
        <v>In McMurdo</v>
      </c>
      <c r="T75" s="757" t="str">
        <v>-</v>
      </c>
      <c r="U75" s="742" t="str">
        <v>In McMurdo</v>
      </c>
      <c r="V75" s="742" t="str">
        <v>In McMurdo</v>
      </c>
      <c r="W75" s="742" t="str">
        <v>in McMurdo</v>
      </c>
      <c r="X75" s="742" t="str">
        <v>in McMurdo</v>
      </c>
      <c r="Y75" s="774" t="str">
        <v>-</v>
      </c>
      <c r="Z75" s="774" t="str">
        <v>-</v>
      </c>
      <c r="AA75" s="774" t="str">
        <v>-</v>
      </c>
      <c r="AB75" s="774" t="str">
        <v>-</v>
      </c>
      <c r="AC75" s="774" t="str">
        <v>-</v>
      </c>
      <c r="AD75" s="702" t="str">
        <v>In McMurdo</v>
      </c>
      <c r="AE75" s="363" t="str">
        <v>FY23 intra</v>
      </c>
      <c r="AF75" s="363" t="str">
        <v>FY23 SPOT 2</v>
      </c>
      <c r="AG75" s="316" t="str">
        <v>-</v>
      </c>
      <c r="AH75" s="316">
        <v>0.5</v>
      </c>
      <c r="AI75" s="316" t="str">
        <v>-</v>
      </c>
      <c r="AJ75" s="316" t="str">
        <v>-</v>
      </c>
      <c r="AK75" s="53">
        <v>44927</v>
      </c>
      <c r="AL75" s="53">
        <v>45275</v>
      </c>
      <c r="AM75" s="316">
        <v>348</v>
      </c>
      <c r="AN75" s="316" t="str">
        <v>-</v>
      </c>
      <c r="AO75" s="316" t="str">
        <v>Yes</v>
      </c>
      <c r="AP75" s="53" t="str">
        <v>D. Gibson</v>
      </c>
      <c r="AQ75" s="53">
        <v>44477</v>
      </c>
      <c r="AR75" s="53" t="str">
        <v>I. McEwen</v>
      </c>
      <c r="AS75" s="53">
        <v>44477</v>
      </c>
      <c r="AT75" s="53" t="str">
        <v>Bermed in McMurdo - SPOTSA</v>
      </c>
    </row>
    <row r="76" spans="1:46" s="8" customFormat="1" ht="34" x14ac:dyDescent="0.2">
      <c r="A76" s="9">
        <v>1.2</v>
      </c>
      <c r="B76" s="38" t="str">
        <v>Drill</v>
      </c>
      <c r="C76" s="11" t="str">
        <v>Weight stack and crates</v>
      </c>
      <c r="D76" s="3" t="str">
        <v>Bermed in McM - will require McM fork support. Drill head weight stack and remaining bermed crates at SPoTSA</v>
      </c>
      <c r="E76" s="4">
        <v>120</v>
      </c>
      <c r="F76" s="4">
        <v>48</v>
      </c>
      <c r="G76" s="4">
        <v>48</v>
      </c>
      <c r="H76" s="4">
        <v>1</v>
      </c>
      <c r="I76" s="539">
        <v>160</v>
      </c>
      <c r="J76" s="4">
        <v>160</v>
      </c>
      <c r="K76" s="4">
        <v>600</v>
      </c>
      <c r="L76" s="4">
        <v>600</v>
      </c>
      <c r="M76" s="4" t="str">
        <v>actual</v>
      </c>
      <c r="N76" s="4" t="str">
        <v>-</v>
      </c>
      <c r="O76" s="756" t="str">
        <v xml:space="preserve"> U. Wisc. Madison</v>
      </c>
      <c r="P76" s="758" t="str">
        <v>In McMurdo</v>
      </c>
      <c r="Q76" s="237">
        <v>43845</v>
      </c>
      <c r="R76" s="757" t="str">
        <v>-</v>
      </c>
      <c r="S76" s="757" t="str">
        <v>In McMurdo</v>
      </c>
      <c r="T76" s="757" t="str">
        <v>-</v>
      </c>
      <c r="U76" s="742" t="str">
        <v>In McMurdo</v>
      </c>
      <c r="V76" s="742" t="str">
        <v>In McMurdo</v>
      </c>
      <c r="W76" s="742" t="str">
        <v>in McMurdo</v>
      </c>
      <c r="X76" s="742" t="str">
        <v>in McMurdo</v>
      </c>
      <c r="Y76" s="774" t="str">
        <v>-</v>
      </c>
      <c r="Z76" s="774" t="str">
        <v>-</v>
      </c>
      <c r="AA76" s="774" t="str">
        <v>-</v>
      </c>
      <c r="AB76" s="774" t="str">
        <v>-</v>
      </c>
      <c r="AC76" s="774" t="str">
        <v>-</v>
      </c>
      <c r="AD76" s="702" t="str">
        <v>In McMurdo</v>
      </c>
      <c r="AE76" s="363" t="str">
        <v>FY23 intra</v>
      </c>
      <c r="AF76" s="363" t="str">
        <v>FY23 SPOT 1</v>
      </c>
      <c r="AG76" s="316">
        <v>0.25</v>
      </c>
      <c r="AH76" s="316" t="str">
        <v>-</v>
      </c>
      <c r="AI76" s="316" t="str">
        <v>-</v>
      </c>
      <c r="AJ76" s="316" t="str">
        <v>-</v>
      </c>
      <c r="AK76" s="53">
        <v>44896</v>
      </c>
      <c r="AL76" s="53">
        <v>45992</v>
      </c>
      <c r="AM76" s="316">
        <v>1096</v>
      </c>
      <c r="AN76" s="316" t="str">
        <v>-</v>
      </c>
      <c r="AO76" s="316" t="str">
        <v>No</v>
      </c>
      <c r="AP76" s="53" t="str">
        <v>D. Gibson</v>
      </c>
      <c r="AQ76" s="53">
        <v>44477</v>
      </c>
      <c r="AR76" s="53" t="str">
        <v>I. McEwen</v>
      </c>
      <c r="AS76" s="53">
        <v>44477</v>
      </c>
      <c r="AT76" s="53" t="str">
        <v>Bermed in McMurdo - SPOTSA on UNL flatrack</v>
      </c>
    </row>
    <row r="77" spans="1:46" s="8" customFormat="1" ht="51" x14ac:dyDescent="0.2">
      <c r="A77" s="9">
        <v>1.2</v>
      </c>
      <c r="B77" s="38" t="str">
        <v>Drill</v>
      </c>
      <c r="C77" s="11" t="str">
        <v>Fuel Tower</v>
      </c>
      <c r="D77" s="3" t="str">
        <v xml:space="preserve">Bermed in McM - will require McM fork or crane support. </v>
      </c>
      <c r="E77" s="4">
        <v>96</v>
      </c>
      <c r="F77" s="4">
        <v>72</v>
      </c>
      <c r="G77" s="4">
        <v>120</v>
      </c>
      <c r="H77" s="4">
        <v>1</v>
      </c>
      <c r="I77" s="539">
        <v>480</v>
      </c>
      <c r="J77" s="4">
        <v>480</v>
      </c>
      <c r="K77" s="4">
        <v>1500</v>
      </c>
      <c r="L77" s="4">
        <v>1500</v>
      </c>
      <c r="M77" s="4" t="str">
        <v>actual</v>
      </c>
      <c r="N77" s="4" t="str">
        <v>-</v>
      </c>
      <c r="O77" s="756" t="str">
        <v xml:space="preserve"> U. Wisc. Madison</v>
      </c>
      <c r="P77" s="758" t="str">
        <v>In McMurdo</v>
      </c>
      <c r="Q77" s="237">
        <v>43845</v>
      </c>
      <c r="R77" s="757" t="str">
        <v>-</v>
      </c>
      <c r="S77" s="757" t="str">
        <v>In McMurdo</v>
      </c>
      <c r="T77" s="757" t="str">
        <v>-</v>
      </c>
      <c r="U77" s="742" t="str">
        <v>In McMurdo</v>
      </c>
      <c r="V77" s="742" t="str">
        <v>In McMurdo</v>
      </c>
      <c r="W77" s="742" t="str">
        <v>in McMurdo</v>
      </c>
      <c r="X77" s="742" t="str">
        <v>in McMurdo</v>
      </c>
      <c r="Y77" s="774" t="str">
        <v>-</v>
      </c>
      <c r="Z77" s="774" t="str">
        <v>-</v>
      </c>
      <c r="AA77" s="774" t="str">
        <v>-</v>
      </c>
      <c r="AB77" s="774" t="str">
        <v>-</v>
      </c>
      <c r="AC77" s="774" t="str">
        <v>-</v>
      </c>
      <c r="AD77" s="702" t="str">
        <v>In McMurdo</v>
      </c>
      <c r="AE77" s="363" t="str">
        <v>FY23 intra</v>
      </c>
      <c r="AF77" s="363" t="str">
        <v>FY23 SPOT 1</v>
      </c>
      <c r="AG77" s="316">
        <v>0.25</v>
      </c>
      <c r="AH77" s="316" t="str">
        <v>-</v>
      </c>
      <c r="AI77" s="316" t="str">
        <v>-</v>
      </c>
      <c r="AJ77" s="316" t="str">
        <v>-</v>
      </c>
      <c r="AK77" s="53">
        <v>44896</v>
      </c>
      <c r="AL77" s="53">
        <v>45265</v>
      </c>
      <c r="AM77" s="316">
        <v>369</v>
      </c>
      <c r="AN77" s="316" t="str">
        <v>-</v>
      </c>
      <c r="AO77" s="316" t="str">
        <v>Yes</v>
      </c>
      <c r="AP77" s="53" t="str">
        <v>D. Gibson</v>
      </c>
      <c r="AQ77" s="53">
        <v>44477</v>
      </c>
      <c r="AR77" s="53" t="str">
        <v>I. McEwen</v>
      </c>
      <c r="AS77" s="53">
        <v>44477</v>
      </c>
      <c r="AT77" s="53" t="str">
        <v>Bermed in McMurdo - SPOTSA on UNL flatrack - overland shipment preferred due to complexities of air transport certification - can be laid on side once drained</v>
      </c>
    </row>
    <row r="78" spans="1:46" s="8" customFormat="1" ht="51" x14ac:dyDescent="0.2">
      <c r="A78" s="9">
        <v>1.2</v>
      </c>
      <c r="B78" s="38" t="str">
        <v>Drill</v>
      </c>
      <c r="C78" s="11" t="str">
        <v>HPU 2</v>
      </c>
      <c r="D78" s="3" t="str">
        <v>HPU 2 (University of Nebraska - Lincoln asset) - 40' container housing heating plant on ISO sled</v>
      </c>
      <c r="E78" s="4">
        <v>480</v>
      </c>
      <c r="F78" s="4">
        <v>96</v>
      </c>
      <c r="G78" s="4">
        <v>102</v>
      </c>
      <c r="H78" s="4">
        <v>1</v>
      </c>
      <c r="I78" s="539">
        <v>2720</v>
      </c>
      <c r="J78" s="4">
        <v>2720</v>
      </c>
      <c r="K78" s="4">
        <v>28000</v>
      </c>
      <c r="L78" s="4">
        <v>28000</v>
      </c>
      <c r="M78" s="4" t="str">
        <v>actual</v>
      </c>
      <c r="N78" s="4" t="str">
        <v>-</v>
      </c>
      <c r="O78" s="756" t="str">
        <v xml:space="preserve"> U. Wisc. Madison</v>
      </c>
      <c r="P78" s="758" t="str">
        <v>In McMurdo</v>
      </c>
      <c r="Q78" s="237">
        <v>43845</v>
      </c>
      <c r="R78" s="757" t="str">
        <v>-</v>
      </c>
      <c r="S78" s="757" t="str">
        <v>In McMurdo</v>
      </c>
      <c r="T78" s="757" t="str">
        <v>-</v>
      </c>
      <c r="U78" s="742" t="str">
        <v>In McMurdo</v>
      </c>
      <c r="V78" s="742" t="str">
        <v>In McMurdo</v>
      </c>
      <c r="W78" s="742" t="str">
        <v>in McMurdo</v>
      </c>
      <c r="X78" s="742" t="str">
        <v>in McMurdo</v>
      </c>
      <c r="Y78" s="774" t="str">
        <v>-</v>
      </c>
      <c r="Z78" s="774" t="str">
        <v>-</v>
      </c>
      <c r="AA78" s="774" t="str">
        <v>-</v>
      </c>
      <c r="AB78" s="774" t="str">
        <v>-</v>
      </c>
      <c r="AC78" s="774" t="str">
        <v>-</v>
      </c>
      <c r="AD78" s="702" t="str">
        <v>In McMurdo</v>
      </c>
      <c r="AE78" s="363" t="str">
        <v>FY23 intra</v>
      </c>
      <c r="AF78" s="363" t="str">
        <v>FY23 SPOT 3</v>
      </c>
      <c r="AG78" s="316" t="str">
        <v>-</v>
      </c>
      <c r="AH78" s="316" t="str">
        <v>-</v>
      </c>
      <c r="AI78" s="316">
        <v>1</v>
      </c>
      <c r="AJ78" s="316" t="str">
        <v>-</v>
      </c>
      <c r="AK78" s="53">
        <v>44958</v>
      </c>
      <c r="AL78" s="53">
        <v>45308</v>
      </c>
      <c r="AM78" s="316">
        <v>350</v>
      </c>
      <c r="AN78" s="316" t="str">
        <v>-</v>
      </c>
      <c r="AO78" s="316" t="str">
        <v>Yes</v>
      </c>
      <c r="AP78" s="53" t="str">
        <v>D. Gibson</v>
      </c>
      <c r="AQ78" s="53">
        <v>44477</v>
      </c>
      <c r="AR78" s="53" t="str">
        <v>I. McEwen</v>
      </c>
      <c r="AS78" s="53">
        <v>44477</v>
      </c>
      <c r="AT78" s="53" t="str">
        <v xml:space="preserve">HPU 1 integration with Rodwell system required before drill season on it's own sled which will require evaluation and repair - Stored at SPOTSA </v>
      </c>
    </row>
    <row r="79" spans="1:46" s="8" customFormat="1" ht="51" x14ac:dyDescent="0.2">
      <c r="A79" s="275">
        <v>1.2</v>
      </c>
      <c r="B79" s="276" t="str">
        <v>Drill</v>
      </c>
      <c r="C79" s="277" t="str">
        <v>8' Refit Container</v>
      </c>
      <c r="D79" s="278" t="str">
        <v>Priority refit materials including tools, flowmeter assemblies, motor drive installation kits, hardware, fittings, sensors, &amp; consumables</v>
      </c>
      <c r="E79" s="4">
        <v>96</v>
      </c>
      <c r="F79" s="4">
        <v>86</v>
      </c>
      <c r="G79" s="4">
        <v>96</v>
      </c>
      <c r="H79" s="4">
        <v>1</v>
      </c>
      <c r="I79" s="539">
        <v>459</v>
      </c>
      <c r="J79" s="4">
        <v>459</v>
      </c>
      <c r="K79" s="4">
        <v>5000</v>
      </c>
      <c r="L79" s="4">
        <v>5000</v>
      </c>
      <c r="M79" s="4" t="str">
        <v>actual</v>
      </c>
      <c r="N79" s="4" t="str">
        <v>-</v>
      </c>
      <c r="O79" s="756" t="str">
        <v xml:space="preserve"> U. Wisc. Madison</v>
      </c>
      <c r="P79" s="758" t="str">
        <v>In McMurdo</v>
      </c>
      <c r="Q79" s="237">
        <v>44503</v>
      </c>
      <c r="R79" s="757">
        <v>44516</v>
      </c>
      <c r="S79" s="757" t="str">
        <v>In McMurdo</v>
      </c>
      <c r="T79" s="757" t="str">
        <v xml:space="preserve"> Truck</v>
      </c>
      <c r="U79" s="742" t="str">
        <v>In McMurdo</v>
      </c>
      <c r="V79" s="742" t="str">
        <v>In McMurdo</v>
      </c>
      <c r="W79" s="742" t="str">
        <v>in McMurdo</v>
      </c>
      <c r="X79" s="742" t="str">
        <v>in McMurdo</v>
      </c>
      <c r="Y79" s="774" t="str">
        <v>-</v>
      </c>
      <c r="Z79" s="774" t="str">
        <v>-</v>
      </c>
      <c r="AA79" s="774" t="str">
        <v>-</v>
      </c>
      <c r="AB79" s="774" t="str">
        <v>-</v>
      </c>
      <c r="AC79" s="774" t="str">
        <v>-</v>
      </c>
      <c r="AD79" s="702" t="str">
        <v>In McMurdo</v>
      </c>
      <c r="AE79" s="363" t="str">
        <v>FY23 intra</v>
      </c>
      <c r="AF79" s="363" t="str">
        <v>FY23 SPOT 1</v>
      </c>
      <c r="AG79" s="316">
        <v>0.25</v>
      </c>
      <c r="AH79" s="316" t="str">
        <v>-</v>
      </c>
      <c r="AI79" s="316" t="str">
        <v>-</v>
      </c>
      <c r="AJ79" s="316" t="str">
        <v>-</v>
      </c>
      <c r="AK79" s="53">
        <v>44896</v>
      </c>
      <c r="AL79" s="53">
        <v>45244</v>
      </c>
      <c r="AM79" s="316">
        <v>348</v>
      </c>
      <c r="AN79" s="316">
        <v>728</v>
      </c>
      <c r="AO79" s="316" t="str">
        <v>Yes</v>
      </c>
      <c r="AP79" s="53" t="str">
        <v>D. Gibson</v>
      </c>
      <c r="AQ79" s="53">
        <v>44477</v>
      </c>
      <c r="AR79" s="53" t="str">
        <v>I. McEwen</v>
      </c>
      <c r="AS79" s="53">
        <v>44477</v>
      </c>
      <c r="AT79" s="53" t="str">
        <v xml:space="preserve">8' container moves with contents by LC130 or is broken down for movement by Basler. Packing in progress. </v>
      </c>
    </row>
    <row r="80" spans="1:46" s="8" customFormat="1" ht="51" x14ac:dyDescent="0.2">
      <c r="A80" s="9">
        <v>1.2</v>
      </c>
      <c r="B80" s="38" t="str">
        <v>Drill</v>
      </c>
      <c r="C80" s="11" t="str">
        <v>20' Refit Container A</v>
      </c>
      <c r="D80" s="3" t="str">
        <v>Refit materials incl. submersible pumps, hardware, filtration components, fall arrest towers, tools, hose crimper and camp hose (2 spools 348 cf/4990 lbs each)</v>
      </c>
      <c r="E80" s="4">
        <v>240</v>
      </c>
      <c r="F80" s="4">
        <v>96</v>
      </c>
      <c r="G80" s="4">
        <v>102</v>
      </c>
      <c r="H80" s="4">
        <v>1</v>
      </c>
      <c r="I80" s="539">
        <v>1360</v>
      </c>
      <c r="J80" s="4">
        <v>1360</v>
      </c>
      <c r="K80" s="4">
        <v>17320</v>
      </c>
      <c r="L80" s="4">
        <v>17320</v>
      </c>
      <c r="M80" s="4" t="str">
        <v>actual</v>
      </c>
      <c r="N80" s="4" t="str">
        <v>-</v>
      </c>
      <c r="O80" s="756" t="str">
        <v xml:space="preserve"> U. Wisc. Madison</v>
      </c>
      <c r="P80" s="758" t="str">
        <v>In McMurdo</v>
      </c>
      <c r="Q80" s="237">
        <v>44513</v>
      </c>
      <c r="R80" s="757">
        <v>44516</v>
      </c>
      <c r="S80" s="757" t="str">
        <v>In McMurdo</v>
      </c>
      <c r="T80" s="757" t="str">
        <v xml:space="preserve"> Truck</v>
      </c>
      <c r="U80" s="742" t="str">
        <v>In McMurdo</v>
      </c>
      <c r="V80" s="742" t="str">
        <v>In McMurdo</v>
      </c>
      <c r="W80" s="742" t="str">
        <v>in McMurdo</v>
      </c>
      <c r="X80" s="742" t="str">
        <v>in McMurdo</v>
      </c>
      <c r="Y80" s="774" t="str">
        <v>-</v>
      </c>
      <c r="Z80" s="774" t="str">
        <v>-</v>
      </c>
      <c r="AA80" s="774" t="str">
        <v>-</v>
      </c>
      <c r="AB80" s="774" t="str">
        <v>-</v>
      </c>
      <c r="AC80" s="774" t="str">
        <v>-</v>
      </c>
      <c r="AD80" s="702" t="str">
        <v>In McMurdo</v>
      </c>
      <c r="AE80" s="363" t="str">
        <v>FY23 intra</v>
      </c>
      <c r="AF80" s="363" t="str">
        <v>FY23 SPOT 2</v>
      </c>
      <c r="AG80" s="316" t="str">
        <v>-</v>
      </c>
      <c r="AH80" s="316">
        <v>0.5</v>
      </c>
      <c r="AI80" s="316" t="str">
        <v>-</v>
      </c>
      <c r="AJ80" s="316" t="str">
        <v>-</v>
      </c>
      <c r="AK80" s="53">
        <v>44927</v>
      </c>
      <c r="AL80" s="53">
        <v>45244</v>
      </c>
      <c r="AM80" s="316">
        <v>317</v>
      </c>
      <c r="AN80" s="316">
        <v>728</v>
      </c>
      <c r="AO80" s="316" t="str">
        <v>Yes</v>
      </c>
      <c r="AP80" s="53" t="str">
        <v>D. Gibson</v>
      </c>
      <c r="AQ80" s="53">
        <v>44477</v>
      </c>
      <c r="AR80" s="53" t="str">
        <v>I. McEwen</v>
      </c>
      <c r="AS80" s="53">
        <v>44477</v>
      </c>
      <c r="AT80" s="53" t="str">
        <v xml:space="preserve">For air shipment container contents will need to be unloaded and palletized. Container procurement delayed by shortage. Packing in progress. </v>
      </c>
    </row>
    <row r="81" spans="1:46" s="8" customFormat="1" ht="68" x14ac:dyDescent="0.2">
      <c r="A81" s="9">
        <v>1.2</v>
      </c>
      <c r="B81" s="38" t="str">
        <v>Drill</v>
      </c>
      <c r="C81" s="11" t="str">
        <v>20' Refit Container B</v>
      </c>
      <c r="D81" s="3" t="str">
        <v>Bulky materials incl. cable trays, vertical turbine pumps, vertical turbine pump motors, ladders, water tank doghouse/railing materials, 287 forks, generator parts, TU20 shaft, &amp; drill weight stack</v>
      </c>
      <c r="E81" s="4">
        <v>240</v>
      </c>
      <c r="F81" s="4">
        <v>96</v>
      </c>
      <c r="G81" s="4">
        <v>102</v>
      </c>
      <c r="H81" s="4">
        <v>1</v>
      </c>
      <c r="I81" s="539">
        <v>1360</v>
      </c>
      <c r="J81" s="4">
        <v>1360</v>
      </c>
      <c r="K81" s="4">
        <v>14280</v>
      </c>
      <c r="L81" s="4">
        <v>14280</v>
      </c>
      <c r="M81" s="4" t="str">
        <v>actual</v>
      </c>
      <c r="N81" s="4" t="str">
        <v>-</v>
      </c>
      <c r="O81" s="756" t="str">
        <v xml:space="preserve"> U. Wisc. Madison</v>
      </c>
      <c r="P81" s="758" t="str">
        <v>In McMurdo</v>
      </c>
      <c r="Q81" s="237">
        <v>44502</v>
      </c>
      <c r="R81" s="757">
        <v>44502</v>
      </c>
      <c r="S81" s="757" t="str">
        <v>In McMurdo</v>
      </c>
      <c r="T81" s="757" t="str">
        <v>Truck</v>
      </c>
      <c r="U81" s="742" t="str">
        <v>In McMurdo</v>
      </c>
      <c r="V81" s="742" t="str">
        <v>In McMurdo</v>
      </c>
      <c r="W81" s="742" t="str">
        <v>in McMurdo</v>
      </c>
      <c r="X81" s="742" t="str">
        <v>in McMurdo</v>
      </c>
      <c r="Y81" s="774" t="str">
        <v>-</v>
      </c>
      <c r="Z81" s="774" t="str">
        <v>-</v>
      </c>
      <c r="AA81" s="774" t="str">
        <v>-</v>
      </c>
      <c r="AB81" s="774" t="str">
        <v>-</v>
      </c>
      <c r="AC81" s="774" t="str">
        <v>-</v>
      </c>
      <c r="AD81" s="702" t="str">
        <v>In McMurdo</v>
      </c>
      <c r="AE81" s="363" t="str">
        <v>FY23 intra</v>
      </c>
      <c r="AF81" s="363" t="str">
        <v>FY23 SPOT 2</v>
      </c>
      <c r="AG81" s="316" t="str">
        <v>-</v>
      </c>
      <c r="AH81" s="316">
        <v>0.5</v>
      </c>
      <c r="AI81" s="316" t="str">
        <v>-</v>
      </c>
      <c r="AJ81" s="316" t="str">
        <v>-</v>
      </c>
      <c r="AK81" s="53">
        <v>44927</v>
      </c>
      <c r="AL81" s="53">
        <v>45275</v>
      </c>
      <c r="AM81" s="316">
        <v>348</v>
      </c>
      <c r="AN81" s="316">
        <v>773</v>
      </c>
      <c r="AO81" s="316" t="str">
        <v>Yes</v>
      </c>
      <c r="AP81" s="53" t="str">
        <v>D. Gibson</v>
      </c>
      <c r="AQ81" s="53">
        <v>44477</v>
      </c>
      <c r="AR81" s="53" t="str">
        <v>I. McEwen</v>
      </c>
      <c r="AS81" s="53">
        <v>44477</v>
      </c>
      <c r="AT81" s="53" t="str">
        <v>For air shipment container contents will need to be unloaded and palletized</v>
      </c>
    </row>
    <row r="82" spans="1:46" s="8" customFormat="1" ht="68" x14ac:dyDescent="0.2">
      <c r="A82" s="9">
        <v>1.2</v>
      </c>
      <c r="B82" s="38" t="str">
        <v>Drill</v>
      </c>
      <c r="C82" s="11" t="str">
        <v>ARA Trailer</v>
      </c>
      <c r="D82" s="3" t="str">
        <v>Enclosed trailer on skis housing 35kw generator</v>
      </c>
      <c r="E82" s="4">
        <v>192</v>
      </c>
      <c r="F82" s="4">
        <v>96</v>
      </c>
      <c r="G82" s="4">
        <v>88</v>
      </c>
      <c r="H82" s="4">
        <v>1</v>
      </c>
      <c r="I82" s="539">
        <v>939</v>
      </c>
      <c r="J82" s="4">
        <v>939</v>
      </c>
      <c r="K82" s="4">
        <v>5400</v>
      </c>
      <c r="L82" s="4">
        <v>5400</v>
      </c>
      <c r="M82" s="4" t="str">
        <v>actual</v>
      </c>
      <c r="N82" s="4" t="str">
        <v>FLAMMABLE liquid power engine</v>
      </c>
      <c r="O82" s="756" t="str">
        <v xml:space="preserve"> U. Wisc. Madison</v>
      </c>
      <c r="P82" s="758" t="str">
        <v>In McMurdo</v>
      </c>
      <c r="Q82" s="237">
        <v>44502</v>
      </c>
      <c r="R82" s="757">
        <v>44502</v>
      </c>
      <c r="S82" s="757" t="str">
        <v>In McMurdo</v>
      </c>
      <c r="T82" s="757" t="str">
        <v xml:space="preserve"> Truck</v>
      </c>
      <c r="U82" s="742" t="str">
        <v>In McMurdo</v>
      </c>
      <c r="V82" s="742" t="str">
        <v>In McMurdo</v>
      </c>
      <c r="W82" s="742" t="str">
        <v>in McMurdo</v>
      </c>
      <c r="X82" s="742" t="str">
        <v>in McMurdo</v>
      </c>
      <c r="Y82" s="774" t="str">
        <v>-</v>
      </c>
      <c r="Z82" s="774" t="str">
        <v>-</v>
      </c>
      <c r="AA82" s="774" t="str">
        <v>-</v>
      </c>
      <c r="AB82" s="774" t="str">
        <v>-</v>
      </c>
      <c r="AC82" s="774" t="str">
        <v>-</v>
      </c>
      <c r="AD82" s="702" t="str">
        <v>In McMurdo</v>
      </c>
      <c r="AE82" s="363" t="str">
        <v>FY23 intra</v>
      </c>
      <c r="AF82" s="363" t="str">
        <v>FY23 SPOT 1</v>
      </c>
      <c r="AG82" s="316">
        <v>0.5</v>
      </c>
      <c r="AH82" s="316" t="str">
        <v>-</v>
      </c>
      <c r="AI82" s="316" t="str">
        <v>-</v>
      </c>
      <c r="AJ82" s="316" t="str">
        <v>-</v>
      </c>
      <c r="AK82" s="53">
        <v>44896</v>
      </c>
      <c r="AL82" s="53">
        <v>45267</v>
      </c>
      <c r="AM82" s="316">
        <v>371</v>
      </c>
      <c r="AN82" s="316">
        <v>765</v>
      </c>
      <c r="AO82" s="316" t="str">
        <v>Yes*</v>
      </c>
      <c r="AP82" s="53" t="str">
        <v>D. Gibson</v>
      </c>
      <c r="AQ82" s="53">
        <v>44477</v>
      </c>
      <c r="AR82" s="53" t="str">
        <v>I. McEwen</v>
      </c>
      <c r="AS82" s="53">
        <v>44477</v>
      </c>
      <c r="AT82" s="53" t="str">
        <v>*If this shipment is delayed 480 volt power generation support will be required in FW YR 1 by the contractor. Aside from the CRREL generator (far larger than required with high fuel burn rate) the capacity does not currently exist at the Pole.</v>
      </c>
    </row>
    <row r="83" spans="1:46" s="8" customFormat="1" ht="34" x14ac:dyDescent="0.2">
      <c r="A83" s="275">
        <v>1.2</v>
      </c>
      <c r="B83" s="276" t="str">
        <v>Drill</v>
      </c>
      <c r="C83" s="277" t="str">
        <v>Return Water Cable Reel (RWCR)</v>
      </c>
      <c r="D83" s="278" t="str">
        <v>Smaller reel - can fit in 20' container. Required onsite in FY23 for final integration and pre-drill activites</v>
      </c>
      <c r="E83" s="4">
        <v>112</v>
      </c>
      <c r="F83" s="4">
        <v>80</v>
      </c>
      <c r="G83" s="4">
        <v>80</v>
      </c>
      <c r="H83" s="4">
        <v>1</v>
      </c>
      <c r="I83" s="539">
        <v>415</v>
      </c>
      <c r="J83" s="4">
        <v>415</v>
      </c>
      <c r="K83" s="4">
        <v>4000</v>
      </c>
      <c r="L83" s="4">
        <v>4000</v>
      </c>
      <c r="M83" s="4" t="str">
        <v>actual</v>
      </c>
      <c r="N83" s="4" t="str">
        <v>-</v>
      </c>
      <c r="O83" s="756" t="str">
        <v xml:space="preserve"> U. Wisc. Madison</v>
      </c>
      <c r="P83" s="758" t="str">
        <v>In McMurdo</v>
      </c>
      <c r="Q83" s="237">
        <v>44495</v>
      </c>
      <c r="R83" s="757">
        <v>44502</v>
      </c>
      <c r="S83" s="757" t="str">
        <v>In McMurdo</v>
      </c>
      <c r="T83" s="757" t="str">
        <v xml:space="preserve"> Truck</v>
      </c>
      <c r="U83" s="742" t="str">
        <v>In McMurdo</v>
      </c>
      <c r="V83" s="742" t="str">
        <v>In McMurdo</v>
      </c>
      <c r="W83" s="742" t="str">
        <v>in McMurdo</v>
      </c>
      <c r="X83" s="742" t="str">
        <v>in McMurdo</v>
      </c>
      <c r="Y83" s="774" t="str">
        <v>-</v>
      </c>
      <c r="Z83" s="774" t="str">
        <v>-</v>
      </c>
      <c r="AA83" s="774" t="str">
        <v>-</v>
      </c>
      <c r="AB83" s="774" t="str">
        <v>-</v>
      </c>
      <c r="AC83" s="774" t="str">
        <v>-</v>
      </c>
      <c r="AD83" s="702" t="str">
        <v>In McMurdo</v>
      </c>
      <c r="AE83" s="363" t="str">
        <v>FY23 intra</v>
      </c>
      <c r="AF83" s="363" t="str">
        <v>FY23 SPOT 2</v>
      </c>
      <c r="AG83" s="316" t="str">
        <v>-</v>
      </c>
      <c r="AH83" s="316">
        <v>0.25</v>
      </c>
      <c r="AI83" s="316" t="str">
        <v>-</v>
      </c>
      <c r="AJ83" s="316" t="str">
        <v>-</v>
      </c>
      <c r="AK83" s="53">
        <v>44927</v>
      </c>
      <c r="AL83" s="53">
        <v>45294</v>
      </c>
      <c r="AM83" s="316">
        <v>367</v>
      </c>
      <c r="AN83" s="316">
        <v>792</v>
      </c>
      <c r="AO83" s="316" t="str">
        <v>Yes</v>
      </c>
      <c r="AP83" s="53" t="str">
        <v>D. Gibson</v>
      </c>
      <c r="AQ83" s="53">
        <v>44477</v>
      </c>
      <c r="AR83" s="53" t="str">
        <v>I. McEwen</v>
      </c>
      <c r="AS83" s="53">
        <v>44477</v>
      </c>
      <c r="AT83" s="53" t="str">
        <v>Weight from Gen 1 shipment information see picture.</v>
      </c>
    </row>
    <row r="84" spans="1:46" s="8" customFormat="1" ht="34" x14ac:dyDescent="0.2">
      <c r="A84" s="9">
        <v>1.2</v>
      </c>
      <c r="B84" s="38" t="str">
        <v>Drill</v>
      </c>
      <c r="C84" s="11" t="str">
        <v>Main Cable Reel  (MCR)</v>
      </c>
      <c r="D84" s="3" t="str">
        <v xml:space="preserve">Required onsite in FY23 for final integration and pre-drill activites. Large cable reel - will require flat rack on vessel             </v>
      </c>
      <c r="E84" s="4">
        <v>140</v>
      </c>
      <c r="F84" s="4">
        <v>96</v>
      </c>
      <c r="G84" s="4">
        <v>95</v>
      </c>
      <c r="H84" s="4">
        <v>1</v>
      </c>
      <c r="I84" s="539">
        <v>739</v>
      </c>
      <c r="J84" s="4">
        <v>739</v>
      </c>
      <c r="K84" s="4">
        <v>17800</v>
      </c>
      <c r="L84" s="4">
        <v>17800</v>
      </c>
      <c r="M84" s="4" t="str">
        <v>actual</v>
      </c>
      <c r="N84" s="4" t="str">
        <v>-</v>
      </c>
      <c r="O84" s="756" t="str">
        <v xml:space="preserve"> U. Wisc. Madison</v>
      </c>
      <c r="P84" s="758" t="str">
        <v>In McMurdo</v>
      </c>
      <c r="Q84" s="237">
        <v>44508</v>
      </c>
      <c r="R84" s="757">
        <v>44516</v>
      </c>
      <c r="S84" s="757" t="str">
        <v>In McMurdo</v>
      </c>
      <c r="T84" s="757" t="str">
        <v xml:space="preserve"> Truck</v>
      </c>
      <c r="U84" s="742" t="str">
        <v>In McMurdo</v>
      </c>
      <c r="V84" s="742" t="str">
        <v>In McMurdo</v>
      </c>
      <c r="W84" s="742" t="str">
        <v>in McMurdo</v>
      </c>
      <c r="X84" s="742" t="str">
        <v>in McMurdo</v>
      </c>
      <c r="Y84" s="774" t="str">
        <v>-</v>
      </c>
      <c r="Z84" s="774" t="str">
        <v>-</v>
      </c>
      <c r="AA84" s="774" t="str">
        <v>-</v>
      </c>
      <c r="AB84" s="774" t="str">
        <v>-</v>
      </c>
      <c r="AC84" s="774" t="str">
        <v>-</v>
      </c>
      <c r="AD84" s="702" t="str">
        <v>In McMurdo</v>
      </c>
      <c r="AE84" s="363" t="str">
        <v>FY23 intra</v>
      </c>
      <c r="AF84" s="363" t="str">
        <v>FY23 SPOT 2</v>
      </c>
      <c r="AG84" s="316" t="str">
        <v>-</v>
      </c>
      <c r="AH84" s="316">
        <v>0.25</v>
      </c>
      <c r="AI84" s="316" t="str">
        <v>-</v>
      </c>
      <c r="AJ84" s="316" t="str">
        <v>-</v>
      </c>
      <c r="AK84" s="53">
        <v>44927</v>
      </c>
      <c r="AL84" s="53">
        <v>45294</v>
      </c>
      <c r="AM84" s="316">
        <v>367</v>
      </c>
      <c r="AN84" s="316">
        <v>778</v>
      </c>
      <c r="AO84" s="316" t="str">
        <v>Yes</v>
      </c>
      <c r="AP84" s="53" t="str">
        <v>D. Gibson</v>
      </c>
      <c r="AQ84" s="53">
        <v>44477</v>
      </c>
      <c r="AR84" s="53" t="str">
        <v>I. McEwen</v>
      </c>
      <c r="AS84" s="53">
        <v>44477</v>
      </c>
      <c r="AT84" s="53" t="str">
        <v xml:space="preserve">Required onsite in FS Y1 for final integration and pre-drill activities. Shrink wrap contractor rescheduled for later date. </v>
      </c>
    </row>
    <row r="85" spans="1:46" s="8" customFormat="1" ht="51" x14ac:dyDescent="0.2">
      <c r="A85" s="9">
        <v>1.2</v>
      </c>
      <c r="B85" s="38" t="str">
        <v>Drill</v>
      </c>
      <c r="C85" s="11" t="str">
        <v xml:space="preserve">Container Ski Stack (comprised of 5 sleds) </v>
      </c>
      <c r="D85" s="3" t="str">
        <v>Five sets of aluminum skis for 20' containers - stacked. Aluminum skis for drill containers. Required onsite for local movement of Gens and PDM.</v>
      </c>
      <c r="E85" s="4">
        <v>240</v>
      </c>
      <c r="F85" s="4">
        <v>96</v>
      </c>
      <c r="G85" s="4">
        <v>96</v>
      </c>
      <c r="H85" s="4">
        <v>1</v>
      </c>
      <c r="I85" s="539">
        <v>1280</v>
      </c>
      <c r="J85" s="4">
        <v>1280</v>
      </c>
      <c r="K85" s="4">
        <v>4255</v>
      </c>
      <c r="L85" s="4">
        <v>4255</v>
      </c>
      <c r="M85" s="4" t="str">
        <v>actual</v>
      </c>
      <c r="N85" s="4" t="str">
        <v>-</v>
      </c>
      <c r="O85" s="756" t="str">
        <v xml:space="preserve"> U. Wisc. Madison</v>
      </c>
      <c r="P85" s="758" t="str">
        <v>In McMurdo</v>
      </c>
      <c r="Q85" s="237">
        <v>44193</v>
      </c>
      <c r="R85" s="757">
        <v>44211</v>
      </c>
      <c r="S85" s="757" t="str">
        <v>In McMurdo</v>
      </c>
      <c r="T85" s="757" t="str">
        <v>Truck</v>
      </c>
      <c r="U85" s="742" t="str">
        <v>In McMurdo</v>
      </c>
      <c r="V85" s="742" t="str">
        <v>In McMurdo</v>
      </c>
      <c r="W85" s="742" t="str">
        <v>in McMurdo</v>
      </c>
      <c r="X85" s="742" t="str">
        <v>in McMurdo</v>
      </c>
      <c r="Y85" s="774" t="str">
        <v>-</v>
      </c>
      <c r="Z85" s="774" t="str">
        <v>-</v>
      </c>
      <c r="AA85" s="774" t="str">
        <v>-</v>
      </c>
      <c r="AB85" s="774" t="str">
        <v>-</v>
      </c>
      <c r="AC85" s="774" t="str">
        <v>-</v>
      </c>
      <c r="AD85" s="702" t="str">
        <v>In McMurdo</v>
      </c>
      <c r="AE85" s="363" t="str">
        <v>FY23 intra</v>
      </c>
      <c r="AF85" s="363" t="str">
        <v>FY23 SPOT 1</v>
      </c>
      <c r="AG85" s="316">
        <v>0.5</v>
      </c>
      <c r="AH85" s="316" t="str">
        <v>-</v>
      </c>
      <c r="AI85" s="316" t="str">
        <v>-</v>
      </c>
      <c r="AJ85" s="316" t="str">
        <v>-</v>
      </c>
      <c r="AK85" s="53">
        <v>44896</v>
      </c>
      <c r="AL85" s="53">
        <v>44927</v>
      </c>
      <c r="AM85" s="316">
        <v>31</v>
      </c>
      <c r="AN85" s="316">
        <v>716</v>
      </c>
      <c r="AO85" s="316" t="str">
        <v>No*</v>
      </c>
      <c r="AP85" s="53" t="str">
        <v>D. Gibson</v>
      </c>
      <c r="AQ85" s="53">
        <v>44477</v>
      </c>
      <c r="AR85" s="53" t="str">
        <v>I. McEwen</v>
      </c>
      <c r="AS85" s="53">
        <v>44477</v>
      </c>
      <c r="AT85" s="53" t="str">
        <v>*While this shipment is not on the critical path additional ASC crane support will be required to overcome delayed arrival or sleds furnished from the South Pole inventory</v>
      </c>
    </row>
    <row r="86" spans="1:46" s="8" customFormat="1" ht="34" x14ac:dyDescent="0.2">
      <c r="A86" s="9">
        <v>1.2</v>
      </c>
      <c r="B86" s="38" t="str">
        <v>Drill</v>
      </c>
      <c r="C86" s="11" t="str">
        <v xml:space="preserve">Generator Intake Hood </v>
      </c>
      <c r="D86" s="3" t="str">
        <v>Light weight large volume sheet metal stacks for generator ventilation</v>
      </c>
      <c r="E86" s="4">
        <v>174</v>
      </c>
      <c r="F86" s="4">
        <v>53</v>
      </c>
      <c r="G86" s="4">
        <v>96</v>
      </c>
      <c r="H86" s="4">
        <v>3</v>
      </c>
      <c r="I86" s="539">
        <v>513</v>
      </c>
      <c r="J86" s="4">
        <v>1539</v>
      </c>
      <c r="K86" s="4">
        <v>587</v>
      </c>
      <c r="L86" s="4">
        <v>1761</v>
      </c>
      <c r="M86" s="4" t="str">
        <v>actual</v>
      </c>
      <c r="N86" s="4" t="str">
        <v>-</v>
      </c>
      <c r="O86" s="756" t="str">
        <v xml:space="preserve"> U. Wisc. Madison</v>
      </c>
      <c r="P86" s="758" t="str">
        <v>In McMurdo</v>
      </c>
      <c r="Q86" s="237">
        <v>44112</v>
      </c>
      <c r="R86" s="757">
        <v>44159</v>
      </c>
      <c r="S86" s="757" t="str">
        <v>In McMurdo</v>
      </c>
      <c r="T86" s="757" t="str">
        <v>Truck</v>
      </c>
      <c r="U86" s="742" t="str">
        <v>In McMurdo</v>
      </c>
      <c r="V86" s="742" t="str">
        <v>In McMurdo</v>
      </c>
      <c r="W86" s="742" t="str">
        <v>in McMurdo</v>
      </c>
      <c r="X86" s="742" t="str">
        <v>in McMurdo</v>
      </c>
      <c r="Y86" s="774" t="str">
        <v>-</v>
      </c>
      <c r="Z86" s="774" t="str">
        <v>-</v>
      </c>
      <c r="AA86" s="774" t="str">
        <v>-</v>
      </c>
      <c r="AB86" s="774" t="str">
        <v>-</v>
      </c>
      <c r="AC86" s="774" t="str">
        <v>-</v>
      </c>
      <c r="AD86" s="702" t="str">
        <v>In McMurdo</v>
      </c>
      <c r="AE86" s="363" t="str">
        <v>FY23 intra</v>
      </c>
      <c r="AF86" s="363" t="str">
        <v>FY23 SPOT 1</v>
      </c>
      <c r="AG86" s="316">
        <v>0.5</v>
      </c>
      <c r="AH86" s="316" t="str">
        <v>-</v>
      </c>
      <c r="AI86" s="316" t="str">
        <v>-</v>
      </c>
      <c r="AJ86" s="316" t="str">
        <v>-</v>
      </c>
      <c r="AK86" s="53">
        <v>44896</v>
      </c>
      <c r="AL86" s="53">
        <v>45272</v>
      </c>
      <c r="AM86" s="316">
        <v>376</v>
      </c>
      <c r="AN86" s="316">
        <v>1113</v>
      </c>
      <c r="AO86" s="316" t="str">
        <v>Yes</v>
      </c>
      <c r="AP86" s="53" t="str">
        <v>D. Gibson</v>
      </c>
      <c r="AQ86" s="53">
        <v>44477</v>
      </c>
      <c r="AR86" s="53" t="str">
        <v>I. McEwen</v>
      </c>
      <c r="AS86" s="53">
        <v>44477</v>
      </c>
      <c r="AT86" s="53" t="str">
        <v>-</v>
      </c>
    </row>
    <row r="87" spans="1:46" s="8" customFormat="1" ht="34" x14ac:dyDescent="0.2">
      <c r="A87" s="275">
        <v>1.2</v>
      </c>
      <c r="B87" s="276" t="str">
        <v>Drill</v>
      </c>
      <c r="C87" s="277" t="str">
        <v xml:space="preserve">Generator Discharge Hoods </v>
      </c>
      <c r="D87" s="278" t="str">
        <v>Light weight large volume sheet metal stacks for generator ventilation</v>
      </c>
      <c r="E87" s="4">
        <v>108</v>
      </c>
      <c r="F87" s="4">
        <v>53</v>
      </c>
      <c r="G87" s="4">
        <v>60</v>
      </c>
      <c r="H87" s="4">
        <v>2</v>
      </c>
      <c r="I87" s="539">
        <v>199</v>
      </c>
      <c r="J87" s="4">
        <v>398</v>
      </c>
      <c r="K87" s="4">
        <v>1210</v>
      </c>
      <c r="L87" s="4">
        <v>2420</v>
      </c>
      <c r="M87" s="4" t="str">
        <v>actual</v>
      </c>
      <c r="N87" s="4" t="str">
        <v>-</v>
      </c>
      <c r="O87" s="756" t="str">
        <v xml:space="preserve"> U. Wisc. Madison</v>
      </c>
      <c r="P87" s="758" t="str">
        <v>In McMurdo</v>
      </c>
      <c r="Q87" s="237">
        <v>44112</v>
      </c>
      <c r="R87" s="757">
        <v>44159</v>
      </c>
      <c r="S87" s="757" t="str">
        <v>In McMurdo</v>
      </c>
      <c r="T87" s="757" t="str">
        <v>Truck</v>
      </c>
      <c r="U87" s="742" t="str">
        <v>In McMurdo</v>
      </c>
      <c r="V87" s="742" t="str">
        <v>In McMurdo</v>
      </c>
      <c r="W87" s="742" t="str">
        <v>in McMurdo</v>
      </c>
      <c r="X87" s="742" t="str">
        <v>in McMurdo</v>
      </c>
      <c r="Y87" s="774" t="str">
        <v>-</v>
      </c>
      <c r="Z87" s="774" t="str">
        <v>-</v>
      </c>
      <c r="AA87" s="774" t="str">
        <v>-</v>
      </c>
      <c r="AB87" s="774" t="str">
        <v>-</v>
      </c>
      <c r="AC87" s="774" t="str">
        <v>-</v>
      </c>
      <c r="AD87" s="702" t="str">
        <v>In McMurdo</v>
      </c>
      <c r="AE87" s="363" t="str">
        <v>FY23 intra</v>
      </c>
      <c r="AF87" s="363" t="str">
        <v>FY23 SPOT 1</v>
      </c>
      <c r="AG87" s="316">
        <v>0.5</v>
      </c>
      <c r="AH87" s="316" t="str">
        <v>-</v>
      </c>
      <c r="AI87" s="316" t="str">
        <v>-</v>
      </c>
      <c r="AJ87" s="316" t="str">
        <v>-</v>
      </c>
      <c r="AK87" s="53">
        <v>44896</v>
      </c>
      <c r="AL87" s="53">
        <v>45272</v>
      </c>
      <c r="AM87" s="316">
        <v>376</v>
      </c>
      <c r="AN87" s="316">
        <v>1113</v>
      </c>
      <c r="AO87" s="316" t="str">
        <v>Yes</v>
      </c>
      <c r="AP87" s="53" t="str">
        <v>D. Gibson</v>
      </c>
      <c r="AQ87" s="53">
        <v>44477</v>
      </c>
      <c r="AR87" s="53" t="str">
        <v>I. McEwen</v>
      </c>
      <c r="AS87" s="53">
        <v>44477</v>
      </c>
      <c r="AT87" s="53" t="str">
        <v>-</v>
      </c>
    </row>
    <row r="88" spans="1:46" s="8" customFormat="1" ht="17" x14ac:dyDescent="0.2">
      <c r="A88" s="9">
        <v>1.2</v>
      </c>
      <c r="B88" s="38" t="str">
        <v>Logistics</v>
      </c>
      <c r="C88" s="11" t="str">
        <v>Accelerometer Loggers  SPoT 1</v>
      </c>
      <c r="D88" s="3" t="str">
        <v xml:space="preserve">1x1x1 box </v>
      </c>
      <c r="E88" s="4">
        <v>12</v>
      </c>
      <c r="F88" s="4">
        <v>12</v>
      </c>
      <c r="G88" s="4">
        <v>12</v>
      </c>
      <c r="H88" s="4">
        <v>1</v>
      </c>
      <c r="I88" s="539">
        <v>1</v>
      </c>
      <c r="J88" s="4">
        <v>1</v>
      </c>
      <c r="K88" s="4">
        <v>5</v>
      </c>
      <c r="L88" s="4">
        <v>5</v>
      </c>
      <c r="M88" s="4" t="str">
        <v>estimated</v>
      </c>
      <c r="N88" s="4" t="str">
        <v>-</v>
      </c>
      <c r="O88" s="756" t="str">
        <v xml:space="preserve"> U. Wisc. Madison</v>
      </c>
      <c r="P88" s="758">
        <v>62</v>
      </c>
      <c r="Q88" s="237">
        <v>44743</v>
      </c>
      <c r="R88" s="757">
        <v>44805</v>
      </c>
      <c r="S88" s="757" t="str">
        <v>UWM - PTH</v>
      </c>
      <c r="T88" s="757" t="str">
        <v>Truck</v>
      </c>
      <c r="U88" s="742" t="str">
        <v>PTH - CHC</v>
      </c>
      <c r="V88" s="742" t="str">
        <v>FY23 inter</v>
      </c>
      <c r="W88" s="742" t="str">
        <v>FY23 ComSur</v>
      </c>
      <c r="X88" s="742" t="str">
        <v>USAP Air</v>
      </c>
      <c r="Y88" s="774" t="str">
        <v>-</v>
      </c>
      <c r="Z88" s="774" t="str">
        <v>-</v>
      </c>
      <c r="AA88" s="774" t="str">
        <v>-</v>
      </c>
      <c r="AB88" s="774" t="str">
        <v>-</v>
      </c>
      <c r="AC88" s="774">
        <v>0.01</v>
      </c>
      <c r="AD88" s="702">
        <v>44852</v>
      </c>
      <c r="AE88" s="363" t="str">
        <v>FY23 intra</v>
      </c>
      <c r="AF88" s="363" t="str">
        <v>FY23 SPOT 1</v>
      </c>
      <c r="AG88" s="316" t="str">
        <v>-</v>
      </c>
      <c r="AH88" s="316" t="str">
        <v>-</v>
      </c>
      <c r="AI88" s="316" t="str">
        <v>-</v>
      </c>
      <c r="AJ88" s="316">
        <v>0.01</v>
      </c>
      <c r="AK88" s="53">
        <v>44896</v>
      </c>
      <c r="AL88" s="53">
        <v>44896</v>
      </c>
      <c r="AM88" s="316">
        <v>0</v>
      </c>
      <c r="AN88" s="316">
        <v>91</v>
      </c>
      <c r="AO88" s="316" t="str">
        <v>Yes</v>
      </c>
      <c r="AP88" s="53" t="str">
        <v>I. McEwen</v>
      </c>
      <c r="AQ88" s="53">
        <v>44620</v>
      </c>
      <c r="AR88" s="53" t="str">
        <v>D. Tosi</v>
      </c>
      <c r="AS88" s="53">
        <v>44620</v>
      </c>
      <c r="AT88" s="53" t="str">
        <v>-</v>
      </c>
    </row>
    <row r="89" spans="1:46" s="8" customFormat="1" ht="17" x14ac:dyDescent="0.2">
      <c r="A89" s="9">
        <v>1.2</v>
      </c>
      <c r="B89" s="38" t="str">
        <v>Logistics</v>
      </c>
      <c r="C89" s="11" t="str">
        <v>Accelerometer Loggers  SPoT 2</v>
      </c>
      <c r="D89" s="3" t="str">
        <v xml:space="preserve">1x1x1 box </v>
      </c>
      <c r="E89" s="4">
        <v>12</v>
      </c>
      <c r="F89" s="4">
        <v>12</v>
      </c>
      <c r="G89" s="4">
        <v>12</v>
      </c>
      <c r="H89" s="4">
        <v>1</v>
      </c>
      <c r="I89" s="539">
        <v>1</v>
      </c>
      <c r="J89" s="4">
        <v>1</v>
      </c>
      <c r="K89" s="4">
        <v>5</v>
      </c>
      <c r="L89" s="4">
        <v>5</v>
      </c>
      <c r="M89" s="4" t="str">
        <v>estimated</v>
      </c>
      <c r="N89" s="4" t="str">
        <v>-</v>
      </c>
      <c r="O89" s="756" t="str">
        <v xml:space="preserve"> U. Wisc. Madison</v>
      </c>
      <c r="P89" s="758">
        <v>62</v>
      </c>
      <c r="Q89" s="237">
        <v>44743</v>
      </c>
      <c r="R89" s="757">
        <v>44805</v>
      </c>
      <c r="S89" s="757" t="str">
        <v>UWM - PTH</v>
      </c>
      <c r="T89" s="757" t="str">
        <v>Truck</v>
      </c>
      <c r="U89" s="742" t="str">
        <v>PTH - CHC</v>
      </c>
      <c r="V89" s="742" t="str">
        <v>FY23 inter</v>
      </c>
      <c r="W89" s="742" t="str">
        <v>FY23 ComSur</v>
      </c>
      <c r="X89" s="742" t="str">
        <v>USAP Air</v>
      </c>
      <c r="Y89" s="774" t="str">
        <v>-</v>
      </c>
      <c r="Z89" s="774" t="str">
        <v>-</v>
      </c>
      <c r="AA89" s="774" t="str">
        <v>-</v>
      </c>
      <c r="AB89" s="774" t="str">
        <v>-</v>
      </c>
      <c r="AC89" s="774">
        <v>0.01</v>
      </c>
      <c r="AD89" s="702">
        <v>44852</v>
      </c>
      <c r="AE89" s="363" t="str">
        <v>FY23 intra</v>
      </c>
      <c r="AF89" s="363" t="str">
        <v>FY23 SPOT 2</v>
      </c>
      <c r="AG89" s="316" t="str">
        <v>-</v>
      </c>
      <c r="AH89" s="316" t="str">
        <v>-</v>
      </c>
      <c r="AI89" s="316" t="str">
        <v>-</v>
      </c>
      <c r="AJ89" s="316">
        <v>0.01</v>
      </c>
      <c r="AK89" s="53">
        <v>44927</v>
      </c>
      <c r="AL89" s="53">
        <v>44927</v>
      </c>
      <c r="AM89" s="316">
        <v>0</v>
      </c>
      <c r="AN89" s="316">
        <v>122</v>
      </c>
      <c r="AO89" s="316" t="str">
        <v>Yes</v>
      </c>
      <c r="AP89" s="53" t="str">
        <v>I. McEwen</v>
      </c>
      <c r="AQ89" s="53">
        <v>44620</v>
      </c>
      <c r="AR89" s="53" t="str">
        <v>D. Tosi</v>
      </c>
      <c r="AS89" s="53">
        <v>44620</v>
      </c>
      <c r="AT89" s="53" t="str">
        <v>-</v>
      </c>
    </row>
    <row r="90" spans="1:46" s="8" customFormat="1" ht="17" x14ac:dyDescent="0.2">
      <c r="A90" s="9">
        <v>1.2</v>
      </c>
      <c r="B90" s="38" t="str">
        <v>Fuel</v>
      </c>
      <c r="C90" s="11" t="str">
        <v>Field Season 0 Fuel</v>
      </c>
      <c r="D90" s="3" t="str">
        <v>Fuel to support following field seasons</v>
      </c>
      <c r="E90" s="4">
        <v>0</v>
      </c>
      <c r="F90" s="4">
        <v>0</v>
      </c>
      <c r="G90" s="4">
        <v>0</v>
      </c>
      <c r="H90" s="4">
        <v>0</v>
      </c>
      <c r="I90" s="539">
        <v>0</v>
      </c>
      <c r="J90" s="4">
        <v>0</v>
      </c>
      <c r="K90" s="4">
        <v>6.8</v>
      </c>
      <c r="L90" s="4">
        <v>0</v>
      </c>
      <c r="M90" s="4" t="str">
        <v>preliminary</v>
      </c>
      <c r="N90" s="4" t="str">
        <v>-</v>
      </c>
      <c r="O90" s="756" t="str">
        <v>-</v>
      </c>
      <c r="P90" s="758" t="str">
        <v>-</v>
      </c>
      <c r="Q90" s="237" t="str">
        <v>-</v>
      </c>
      <c r="R90" s="757" t="str">
        <v>-</v>
      </c>
      <c r="S90" s="757" t="str">
        <v>-</v>
      </c>
      <c r="T90" s="757" t="str">
        <v>-</v>
      </c>
      <c r="U90" s="742" t="str">
        <v>-</v>
      </c>
      <c r="V90" s="742" t="str">
        <v>FY23 inter</v>
      </c>
      <c r="W90" s="742" t="str">
        <v>-</v>
      </c>
      <c r="X90" s="742" t="str">
        <v>-</v>
      </c>
      <c r="Y90" s="774" t="str">
        <v>-</v>
      </c>
      <c r="Z90" s="774" t="str">
        <v>-</v>
      </c>
      <c r="AA90" s="774" t="str">
        <v>-</v>
      </c>
      <c r="AB90" s="774" t="str">
        <v>-</v>
      </c>
      <c r="AC90" s="774">
        <v>0</v>
      </c>
      <c r="AD90" s="702">
        <v>44866</v>
      </c>
      <c r="AE90" s="363" t="str">
        <v>FY23 intra</v>
      </c>
      <c r="AF90" s="363" t="str">
        <v>FY23 LC-Tanker</v>
      </c>
      <c r="AG90" s="316" t="str">
        <v>-</v>
      </c>
      <c r="AH90" s="316" t="str">
        <v>-</v>
      </c>
      <c r="AI90" s="316" t="str">
        <v>-</v>
      </c>
      <c r="AJ90" s="316">
        <v>0</v>
      </c>
      <c r="AK90" s="53">
        <v>44896</v>
      </c>
      <c r="AL90" s="53">
        <v>45261</v>
      </c>
      <c r="AM90" s="316">
        <v>365</v>
      </c>
      <c r="AN90" s="316" t="str">
        <v>-</v>
      </c>
      <c r="AO90" s="316" t="str">
        <v>Yes</v>
      </c>
      <c r="AP90" s="53" t="str">
        <v>T. Benson</v>
      </c>
      <c r="AQ90" s="53">
        <v>44483</v>
      </c>
      <c r="AR90" s="53" t="str">
        <v>I. McEwen</v>
      </c>
      <c r="AS90" s="53">
        <v>44483</v>
      </c>
      <c r="AT90" s="53" t="str">
        <v>-</v>
      </c>
    </row>
    <row r="91" spans="1:46" s="8" customFormat="1" x14ac:dyDescent="0.2">
      <c r="A91" s="275"/>
      <c r="B91" s="276"/>
      <c r="C91" s="277"/>
      <c r="D91" s="278"/>
      <c r="E91" s="4"/>
      <c r="F91" s="4"/>
      <c r="G91" s="4"/>
      <c r="H91" s="4"/>
      <c r="I91" s="539"/>
      <c r="J91" s="4"/>
      <c r="K91" s="4"/>
      <c r="L91" s="4"/>
      <c r="M91" s="4"/>
      <c r="N91" s="4"/>
      <c r="O91" s="756"/>
      <c r="P91" s="758"/>
      <c r="Q91" s="237"/>
      <c r="R91" s="757"/>
      <c r="S91" s="757"/>
      <c r="T91" s="757"/>
      <c r="U91" s="742"/>
      <c r="V91" s="742"/>
      <c r="W91" s="742"/>
      <c r="X91" s="742"/>
      <c r="Y91" s="774"/>
      <c r="Z91" s="774"/>
      <c r="AA91" s="774"/>
      <c r="AB91" s="774"/>
      <c r="AC91" s="774"/>
      <c r="AD91" s="702"/>
      <c r="AE91" s="363"/>
      <c r="AF91" s="363"/>
      <c r="AG91" s="316"/>
      <c r="AH91" s="316"/>
      <c r="AI91" s="316"/>
      <c r="AJ91" s="316"/>
      <c r="AK91" s="53"/>
      <c r="AL91" s="53"/>
      <c r="AM91" s="316"/>
      <c r="AN91" s="316"/>
      <c r="AO91" s="316"/>
      <c r="AP91" s="53"/>
      <c r="AQ91" s="53"/>
      <c r="AR91" s="53"/>
      <c r="AS91" s="53"/>
      <c r="AT91" s="53"/>
    </row>
    <row r="92" spans="1:46" s="8" customFormat="1" x14ac:dyDescent="0.2">
      <c r="A92" s="9"/>
      <c r="B92" s="38"/>
      <c r="C92" s="11"/>
      <c r="D92" s="3"/>
      <c r="E92" s="4"/>
      <c r="F92" s="4"/>
      <c r="G92" s="4"/>
      <c r="H92" s="4"/>
      <c r="I92" s="539"/>
      <c r="J92" s="4"/>
      <c r="K92" s="4"/>
      <c r="L92" s="4"/>
      <c r="M92" s="4"/>
      <c r="N92" s="4"/>
      <c r="O92" s="756"/>
      <c r="P92" s="758"/>
      <c r="Q92" s="237"/>
      <c r="R92" s="757"/>
      <c r="S92" s="757"/>
      <c r="T92" s="757"/>
      <c r="U92" s="742"/>
      <c r="V92" s="742"/>
      <c r="W92" s="742"/>
      <c r="X92" s="742"/>
      <c r="Y92" s="774"/>
      <c r="Z92" s="774"/>
      <c r="AA92" s="774"/>
      <c r="AB92" s="774"/>
      <c r="AC92" s="774"/>
      <c r="AD92" s="702"/>
      <c r="AE92" s="363"/>
      <c r="AF92" s="363"/>
      <c r="AG92" s="316"/>
      <c r="AH92" s="316"/>
      <c r="AI92" s="316"/>
      <c r="AJ92" s="316"/>
      <c r="AK92" s="53"/>
      <c r="AL92" s="53"/>
      <c r="AM92" s="316"/>
      <c r="AN92" s="316"/>
      <c r="AO92" s="316"/>
      <c r="AP92" s="53"/>
      <c r="AQ92" s="53"/>
      <c r="AR92" s="53"/>
      <c r="AS92" s="53"/>
      <c r="AT92" s="53"/>
    </row>
    <row r="93" spans="1:46" s="8" customFormat="1" ht="17" thickBot="1" x14ac:dyDescent="0.25">
      <c r="A93" s="9"/>
      <c r="B93" s="38"/>
      <c r="C93" s="11"/>
      <c r="D93" s="3"/>
      <c r="E93" s="4"/>
      <c r="F93" s="4"/>
      <c r="G93" s="4"/>
      <c r="H93" s="4"/>
      <c r="I93" s="539"/>
      <c r="J93" s="4"/>
      <c r="K93" s="4"/>
      <c r="L93" s="4"/>
      <c r="M93" s="4"/>
      <c r="N93" s="4"/>
      <c r="O93" s="756"/>
      <c r="P93" s="758"/>
      <c r="Q93" s="237"/>
      <c r="R93" s="757"/>
      <c r="S93" s="757"/>
      <c r="T93" s="757"/>
      <c r="U93" s="742"/>
      <c r="V93" s="742"/>
      <c r="W93" s="742"/>
      <c r="X93" s="742"/>
      <c r="Y93" s="774"/>
      <c r="Z93" s="774"/>
      <c r="AA93" s="774"/>
      <c r="AB93" s="774"/>
      <c r="AC93" s="774"/>
      <c r="AD93" s="702"/>
      <c r="AE93" s="363"/>
      <c r="AF93" s="363"/>
      <c r="AG93" s="316"/>
      <c r="AH93" s="316"/>
      <c r="AI93" s="316"/>
      <c r="AJ93" s="316"/>
      <c r="AK93" s="53"/>
      <c r="AL93" s="53"/>
      <c r="AM93" s="316"/>
      <c r="AN93" s="316"/>
      <c r="AO93" s="316"/>
      <c r="AP93" s="53"/>
      <c r="AQ93" s="53"/>
      <c r="AR93" s="53"/>
      <c r="AS93" s="53"/>
      <c r="AT93" s="53"/>
    </row>
    <row r="94" spans="1:46" ht="17" thickBot="1" x14ac:dyDescent="0.25">
      <c r="A94" s="796"/>
      <c r="B94" s="796"/>
      <c r="C94" s="406"/>
      <c r="D94" s="406"/>
      <c r="E94" s="796"/>
      <c r="F94" s="796"/>
      <c r="G94" s="796"/>
      <c r="H94" s="796"/>
      <c r="I94" s="800"/>
      <c r="J94" s="319">
        <f>SUM(J72:J93)</f>
        <v>16363</v>
      </c>
      <c r="K94" s="8"/>
      <c r="L94" s="319">
        <f>SUM(L72:L93)</f>
        <v>159006</v>
      </c>
      <c r="M94" s="796"/>
      <c r="N94" s="796"/>
      <c r="O94" s="796"/>
      <c r="P94" s="800"/>
      <c r="Q94" s="798"/>
      <c r="R94" s="798"/>
      <c r="S94" s="798"/>
      <c r="T94" s="796"/>
      <c r="U94" s="796"/>
      <c r="V94" s="796"/>
      <c r="W94" s="796"/>
      <c r="X94" s="796"/>
      <c r="Y94" s="786"/>
      <c r="Z94" s="786"/>
      <c r="AA94" s="786"/>
      <c r="AB94" s="786"/>
      <c r="AC94" s="786"/>
      <c r="AD94" s="798"/>
      <c r="AE94" s="786"/>
      <c r="AF94" s="319">
        <f>SUM(AG94:AI94)</f>
        <v>7</v>
      </c>
      <c r="AG94" s="317">
        <f>SUM(AG72:AG93)</f>
        <v>3</v>
      </c>
      <c r="AH94" s="317">
        <f t="shared" ref="AH94" si="1">SUM(AH72:AH93)</f>
        <v>3</v>
      </c>
      <c r="AI94" s="317">
        <f>SUM(AI72:AI93)</f>
        <v>1</v>
      </c>
      <c r="AJ94" s="803">
        <f>SUM(AJ72:AJ93)</f>
        <v>0.02</v>
      </c>
      <c r="AK94" s="786"/>
      <c r="AL94" s="799"/>
      <c r="AM94" s="796"/>
      <c r="AN94" s="786"/>
      <c r="AO94" s="799"/>
      <c r="AP94" s="796"/>
      <c r="AQ94" s="786"/>
      <c r="AR94" s="799"/>
      <c r="AS94" s="796"/>
      <c r="AT94" s="796"/>
    </row>
    <row r="95" spans="1:46" x14ac:dyDescent="0.2">
      <c r="A95" s="796"/>
      <c r="B95" s="796"/>
      <c r="C95" s="406"/>
      <c r="D95" s="406"/>
      <c r="E95" s="796"/>
      <c r="F95" s="796"/>
      <c r="G95" s="796"/>
      <c r="H95" s="796"/>
      <c r="I95" s="522"/>
      <c r="J95" s="54" t="s">
        <v>478</v>
      </c>
      <c r="K95" s="8"/>
      <c r="L95" s="8" t="s">
        <v>479</v>
      </c>
      <c r="M95" s="796"/>
      <c r="N95" s="796"/>
      <c r="O95" s="796"/>
      <c r="P95" s="800"/>
      <c r="Q95" s="798"/>
      <c r="R95" s="798"/>
      <c r="S95" s="798"/>
      <c r="T95" s="796"/>
      <c r="U95" s="796"/>
      <c r="V95" s="796"/>
      <c r="W95" s="796"/>
      <c r="X95" s="796"/>
      <c r="Y95" s="786"/>
      <c r="Z95" s="786"/>
      <c r="AA95" s="786"/>
      <c r="AB95" s="786"/>
      <c r="AC95" s="786"/>
      <c r="AD95" s="798"/>
      <c r="AE95" s="786"/>
      <c r="AF95" s="54" t="s">
        <v>480</v>
      </c>
      <c r="AG95" s="54" t="s">
        <v>481</v>
      </c>
      <c r="AH95" s="8" t="s">
        <v>482</v>
      </c>
      <c r="AI95" s="8" t="s">
        <v>483</v>
      </c>
      <c r="AJ95" s="786" t="s">
        <v>484</v>
      </c>
      <c r="AK95" s="54"/>
      <c r="AL95" s="54"/>
      <c r="AM95" s="8"/>
      <c r="AN95" s="8"/>
      <c r="AO95" s="786"/>
      <c r="AP95" s="798"/>
      <c r="AQ95" s="786"/>
      <c r="AR95" s="799"/>
      <c r="AS95" s="796"/>
      <c r="AT95" s="796"/>
    </row>
    <row r="96" spans="1:46" x14ac:dyDescent="0.2">
      <c r="A96" s="796"/>
      <c r="B96" s="796"/>
      <c r="C96" s="406"/>
      <c r="D96" s="406"/>
      <c r="E96" s="796"/>
      <c r="F96" s="796"/>
      <c r="G96" s="796"/>
      <c r="H96" s="796"/>
      <c r="I96" s="522"/>
      <c r="J96" s="8"/>
      <c r="K96" s="8"/>
      <c r="L96" s="801"/>
      <c r="M96" s="796"/>
      <c r="N96" s="796"/>
      <c r="O96" s="796"/>
      <c r="P96" s="800"/>
      <c r="Q96" s="798"/>
      <c r="R96" s="798"/>
      <c r="S96" s="798"/>
      <c r="T96" s="796"/>
      <c r="U96" s="796"/>
      <c r="V96" s="796"/>
      <c r="W96" s="796"/>
      <c r="X96" s="796"/>
      <c r="Y96" s="786"/>
      <c r="Z96" s="786"/>
      <c r="AA96" s="786"/>
      <c r="AB96" s="786"/>
      <c r="AC96" s="786"/>
      <c r="AD96" s="798"/>
      <c r="AE96" s="786"/>
      <c r="AF96" s="798"/>
      <c r="AG96" s="798"/>
      <c r="AH96" s="786"/>
      <c r="AI96" s="786"/>
      <c r="AJ96" s="786"/>
      <c r="AK96" s="798"/>
      <c r="AL96" s="798"/>
      <c r="AM96" s="786"/>
      <c r="AN96" s="786"/>
      <c r="AO96" s="786"/>
      <c r="AP96" s="798"/>
      <c r="AQ96" s="786"/>
      <c r="AR96" s="799"/>
      <c r="AS96" s="796"/>
      <c r="AT96" s="796"/>
    </row>
    <row r="97" spans="1:46" s="395" customFormat="1" x14ac:dyDescent="0.2">
      <c r="A97" s="788"/>
      <c r="B97" s="788"/>
      <c r="C97" s="788"/>
      <c r="D97" s="788"/>
      <c r="E97" s="788"/>
      <c r="F97" s="788"/>
      <c r="G97" s="788"/>
      <c r="H97" s="788"/>
      <c r="I97" s="789"/>
      <c r="J97" s="788"/>
      <c r="K97" s="788"/>
      <c r="L97" s="788"/>
      <c r="M97" s="788"/>
      <c r="N97" s="788"/>
      <c r="O97" s="788"/>
      <c r="P97" s="789"/>
      <c r="Q97" s="791"/>
      <c r="R97" s="791"/>
      <c r="S97" s="791"/>
      <c r="T97" s="788"/>
      <c r="U97" s="788"/>
      <c r="V97" s="788"/>
      <c r="W97" s="788"/>
      <c r="X97" s="788"/>
      <c r="Y97" s="792"/>
      <c r="Z97" s="792"/>
      <c r="AA97" s="792"/>
      <c r="AB97" s="792"/>
      <c r="AC97" s="792"/>
      <c r="AD97" s="791"/>
      <c r="AE97" s="788"/>
      <c r="AF97" s="788"/>
      <c r="AG97" s="792"/>
      <c r="AH97" s="792"/>
      <c r="AI97" s="792"/>
      <c r="AJ97" s="544"/>
      <c r="AK97" s="791"/>
      <c r="AL97" s="791"/>
      <c r="AM97" s="792"/>
      <c r="AN97" s="792"/>
      <c r="AO97" s="788"/>
      <c r="AP97" s="791"/>
      <c r="AQ97" s="788"/>
      <c r="AR97" s="793"/>
      <c r="AS97" s="788"/>
      <c r="AT97" s="788"/>
    </row>
    <row r="98" spans="1:46" s="423" customFormat="1" ht="19" x14ac:dyDescent="0.25">
      <c r="I98" s="523"/>
      <c r="P98" s="523"/>
      <c r="Q98" s="424"/>
      <c r="S98" s="424"/>
      <c r="Y98" s="432"/>
      <c r="Z98" s="432"/>
      <c r="AA98" s="432"/>
      <c r="AB98" s="432"/>
      <c r="AC98" s="432"/>
      <c r="AD98" s="424"/>
      <c r="AG98" s="432"/>
      <c r="AH98" s="432"/>
      <c r="AI98" s="432"/>
      <c r="AJ98" s="546"/>
      <c r="AK98" s="424"/>
      <c r="AL98" s="424"/>
      <c r="AM98" s="432"/>
      <c r="AN98" s="432"/>
      <c r="AP98" s="424"/>
      <c r="AR98" s="535"/>
    </row>
    <row r="99" spans="1:46" s="60" customFormat="1" ht="19" x14ac:dyDescent="0.2">
      <c r="A99" s="272"/>
      <c r="B99" s="282"/>
      <c r="C99" s="279"/>
      <c r="D99" s="280"/>
      <c r="E99" s="281"/>
      <c r="F99" s="34"/>
      <c r="G99" s="34"/>
      <c r="H99" s="40"/>
      <c r="I99" s="578"/>
      <c r="J99" s="41"/>
      <c r="K99" s="41"/>
      <c r="L99" s="34"/>
      <c r="M99" s="34"/>
      <c r="N99" s="34"/>
      <c r="O99" s="42"/>
      <c r="P99" s="42"/>
      <c r="Q99" s="52"/>
      <c r="R99" s="52"/>
      <c r="S99" s="52"/>
      <c r="T99" s="52"/>
      <c r="U99" s="43"/>
      <c r="V99" s="44"/>
      <c r="W99" s="44"/>
      <c r="X99" s="44"/>
      <c r="Y99" s="369"/>
      <c r="Z99" s="369"/>
      <c r="AA99" s="369"/>
      <c r="AB99" s="369"/>
      <c r="AC99" s="369"/>
      <c r="AD99" s="431"/>
      <c r="AE99" s="431"/>
      <c r="AF99" s="431"/>
      <c r="AG99" s="547"/>
      <c r="AH99" s="547"/>
      <c r="AI99" s="547"/>
      <c r="AJ99" s="547"/>
      <c r="AK99" s="260"/>
      <c r="AL99" s="52"/>
      <c r="AM99" s="369"/>
      <c r="AN99" s="369"/>
      <c r="AO99" s="386"/>
      <c r="AP99" s="386"/>
      <c r="AQ99" s="533"/>
      <c r="AR99" s="533"/>
      <c r="AS99" s="533"/>
      <c r="AT99" s="533"/>
    </row>
    <row r="100" spans="1:46" s="416" customFormat="1" ht="20" x14ac:dyDescent="0.2">
      <c r="A100" s="393" t="s">
        <v>245</v>
      </c>
      <c r="B100" s="390"/>
      <c r="C100" s="390"/>
      <c r="D100" s="391"/>
      <c r="E100" s="391"/>
      <c r="F100" s="391"/>
      <c r="G100" s="391"/>
      <c r="H100" s="391"/>
      <c r="I100" s="527"/>
      <c r="J100" s="391"/>
      <c r="K100" s="391"/>
      <c r="L100" s="391"/>
      <c r="M100" s="391"/>
      <c r="N100" s="391"/>
      <c r="O100" s="391"/>
      <c r="P100" s="391"/>
      <c r="Q100" s="531"/>
      <c r="R100" s="531"/>
      <c r="S100" s="531"/>
      <c r="T100" s="531"/>
      <c r="U100" s="391"/>
      <c r="V100" s="391"/>
      <c r="W100" s="391"/>
      <c r="X100" s="391"/>
      <c r="Y100" s="519"/>
      <c r="Z100" s="519"/>
      <c r="AA100" s="519"/>
      <c r="AB100" s="519"/>
      <c r="AC100" s="519"/>
      <c r="AD100" s="419"/>
      <c r="AE100" s="418"/>
      <c r="AF100" s="418"/>
      <c r="AG100" s="538"/>
      <c r="AH100" s="538"/>
      <c r="AI100" s="538"/>
      <c r="AJ100" s="538"/>
      <c r="AK100" s="421"/>
      <c r="AL100" s="419"/>
      <c r="AM100" s="538"/>
      <c r="AN100" s="538"/>
      <c r="AO100" s="419"/>
      <c r="AP100" s="421"/>
      <c r="AQ100" s="421"/>
      <c r="AR100" s="421"/>
      <c r="AS100" s="421"/>
      <c r="AT100" s="421"/>
    </row>
    <row r="101" spans="1:46" s="8" customFormat="1" ht="34" x14ac:dyDescent="0.2">
      <c r="A101" s="9" cm="1">
        <f t="array" ref="A101:AT107">_xlfn._xlws.FILTER(cargo_table, inter_shipping_label=A100)</f>
        <v>1.2</v>
      </c>
      <c r="B101" s="38" t="str">
        <v>Drill</v>
      </c>
      <c r="C101" s="11" t="str">
        <v>Computing/controls components Shipment #2</v>
      </c>
      <c r="D101" s="3" t="str">
        <v>Computing and controls equipment (Motor drives and other sensitive electronics) - Do Not Freeze</v>
      </c>
      <c r="E101" s="4">
        <v>96</v>
      </c>
      <c r="F101" s="4">
        <v>48</v>
      </c>
      <c r="G101" s="4">
        <v>48</v>
      </c>
      <c r="H101" s="4">
        <v>1</v>
      </c>
      <c r="I101" s="539">
        <v>128</v>
      </c>
      <c r="J101" s="4">
        <v>128</v>
      </c>
      <c r="K101" s="4">
        <v>3000</v>
      </c>
      <c r="L101" s="4">
        <v>3000</v>
      </c>
      <c r="M101" s="4" t="str">
        <v>estimated</v>
      </c>
      <c r="N101" s="4" t="str">
        <v>DNF</v>
      </c>
      <c r="O101" s="756" t="str">
        <v xml:space="preserve"> U. Wisc. Madison</v>
      </c>
      <c r="P101" s="758">
        <v>31</v>
      </c>
      <c r="Q101" s="878">
        <v>45108</v>
      </c>
      <c r="R101" s="757">
        <v>45139</v>
      </c>
      <c r="S101" s="757" t="str">
        <v>UWM - PTH</v>
      </c>
      <c r="T101" s="757" t="str">
        <v>Truck</v>
      </c>
      <c r="U101" s="742" t="str">
        <v>PTH - CHC</v>
      </c>
      <c r="V101" s="742" t="str">
        <v>FY24 inter</v>
      </c>
      <c r="W101" s="742" t="str">
        <v>FY24 ComSur</v>
      </c>
      <c r="X101" s="742" t="str">
        <v>USAP Air</v>
      </c>
      <c r="Y101" s="774" t="str">
        <v>-</v>
      </c>
      <c r="Z101" s="774" t="str">
        <v>-</v>
      </c>
      <c r="AA101" s="774" t="str">
        <v>-</v>
      </c>
      <c r="AB101" s="774" t="str">
        <v>-</v>
      </c>
      <c r="AC101" s="774">
        <v>0.5</v>
      </c>
      <c r="AD101" s="702">
        <v>45231</v>
      </c>
      <c r="AE101" s="363" t="str">
        <v>FY24 intra</v>
      </c>
      <c r="AF101" s="363" t="str">
        <v>FY24 LC-130</v>
      </c>
      <c r="AG101" s="316" t="str">
        <v>-</v>
      </c>
      <c r="AH101" s="316" t="str">
        <v>-</v>
      </c>
      <c r="AI101" s="316" t="str">
        <v>-</v>
      </c>
      <c r="AJ101" s="316">
        <v>0.5</v>
      </c>
      <c r="AK101" s="53">
        <v>45245</v>
      </c>
      <c r="AL101" s="53">
        <v>45245</v>
      </c>
      <c r="AM101" s="316">
        <v>0</v>
      </c>
      <c r="AN101" s="316">
        <v>106</v>
      </c>
      <c r="AO101" s="316" t="str">
        <v>Yes</v>
      </c>
      <c r="AP101" s="53" t="str">
        <v>D. Gibson</v>
      </c>
      <c r="AQ101" s="53">
        <v>44477</v>
      </c>
      <c r="AR101" s="53" t="str">
        <v>I. McEwen</v>
      </c>
      <c r="AS101" s="53">
        <v>44477</v>
      </c>
      <c r="AT101" s="53" t="str">
        <v>Required onsite in FW YR 2 to support controls system tasking</v>
      </c>
    </row>
    <row r="102" spans="1:46" s="8" customFormat="1" ht="34" x14ac:dyDescent="0.2">
      <c r="A102" s="9">
        <v>1.2</v>
      </c>
      <c r="B102" s="38" t="str">
        <v>Drill</v>
      </c>
      <c r="C102" s="11" t="str">
        <v>Load member cable reel [placeholder, may not be required]</v>
      </c>
      <c r="D102" s="3" t="str">
        <v>Cable Reel used to deploy downhole load member during string installation</v>
      </c>
      <c r="E102" s="4">
        <v>84</v>
      </c>
      <c r="F102" s="4">
        <v>60</v>
      </c>
      <c r="G102" s="4">
        <v>48</v>
      </c>
      <c r="H102" s="4">
        <v>1</v>
      </c>
      <c r="I102" s="539">
        <v>140</v>
      </c>
      <c r="J102" s="4">
        <v>140</v>
      </c>
      <c r="K102" s="4">
        <v>3800</v>
      </c>
      <c r="L102" s="4">
        <v>3800</v>
      </c>
      <c r="M102" s="4" t="str">
        <v>estimated</v>
      </c>
      <c r="N102" s="4" t="str">
        <v>-</v>
      </c>
      <c r="O102" s="756" t="str">
        <v xml:space="preserve"> U. Wisc. Madison</v>
      </c>
      <c r="P102" s="758">
        <v>136</v>
      </c>
      <c r="Q102" s="878">
        <v>45078</v>
      </c>
      <c r="R102" s="757">
        <v>45214</v>
      </c>
      <c r="S102" s="757" t="str">
        <v>UWM - PTH</v>
      </c>
      <c r="T102" s="757" t="str">
        <v>Truck</v>
      </c>
      <c r="U102" s="742" t="str">
        <v>PTH - MCM</v>
      </c>
      <c r="V102" s="742" t="str">
        <v>FY24 inter</v>
      </c>
      <c r="W102" s="742" t="str">
        <v>FY24 Vessel</v>
      </c>
      <c r="X102" s="742" t="str">
        <v>USAP Vessel</v>
      </c>
      <c r="Y102" s="774" t="str">
        <v>-</v>
      </c>
      <c r="Z102" s="774" t="str">
        <v>-</v>
      </c>
      <c r="AA102" s="774" t="str">
        <v>-</v>
      </c>
      <c r="AB102" s="774">
        <v>0.25</v>
      </c>
      <c r="AC102" s="774" t="str">
        <v>-</v>
      </c>
      <c r="AD102" s="702">
        <v>45328</v>
      </c>
      <c r="AE102" s="363" t="str">
        <v>FY25 intra</v>
      </c>
      <c r="AF102" s="363" t="str">
        <v>FY25 SPOT 2</v>
      </c>
      <c r="AG102" s="316" t="str">
        <v>-</v>
      </c>
      <c r="AH102" s="316">
        <v>0.25</v>
      </c>
      <c r="AI102" s="316" t="str">
        <v>-</v>
      </c>
      <c r="AJ102" s="316" t="str">
        <v>-</v>
      </c>
      <c r="AK102" s="53">
        <v>45658</v>
      </c>
      <c r="AL102" s="53">
        <v>45809</v>
      </c>
      <c r="AM102" s="316">
        <v>151</v>
      </c>
      <c r="AN102" s="316">
        <v>595</v>
      </c>
      <c r="AO102" s="316" t="str">
        <v>Yes</v>
      </c>
      <c r="AP102" s="53" t="str">
        <v>D. Gibson</v>
      </c>
      <c r="AQ102" s="53">
        <v>44477</v>
      </c>
      <c r="AR102" s="53" t="str">
        <v>I. McEwen</v>
      </c>
      <c r="AS102" s="53">
        <v>44477</v>
      </c>
      <c r="AT102" s="53" t="str">
        <v>Required onsite in FW YR 2 for integration - recent addition, still in development</v>
      </c>
    </row>
    <row r="103" spans="1:46" s="8" customFormat="1" ht="17" x14ac:dyDescent="0.2">
      <c r="A103" s="9">
        <v>1.2</v>
      </c>
      <c r="B103" s="38" t="str">
        <v>Installation</v>
      </c>
      <c r="C103" s="11" t="str">
        <v xml:space="preserve">Installation Hardware  87-93 </v>
      </c>
      <c r="D103" s="3" t="str">
        <v>Installation hardware</v>
      </c>
      <c r="E103" s="4">
        <v>96</v>
      </c>
      <c r="F103" s="4">
        <v>48</v>
      </c>
      <c r="G103" s="4">
        <v>48</v>
      </c>
      <c r="H103" s="4">
        <v>7</v>
      </c>
      <c r="I103" s="539">
        <v>128</v>
      </c>
      <c r="J103" s="4">
        <v>896</v>
      </c>
      <c r="K103" s="4">
        <v>1000</v>
      </c>
      <c r="L103" s="4">
        <v>7000</v>
      </c>
      <c r="M103" s="4" t="str">
        <v>estimated</v>
      </c>
      <c r="N103" s="4" t="str">
        <v>-</v>
      </c>
      <c r="O103" s="756" t="str">
        <v xml:space="preserve"> U. Wisc. Madison</v>
      </c>
      <c r="P103" s="758">
        <v>97</v>
      </c>
      <c r="Q103" s="878">
        <v>45117</v>
      </c>
      <c r="R103" s="757">
        <v>45214</v>
      </c>
      <c r="S103" s="757" t="str">
        <v>UWM - PTH</v>
      </c>
      <c r="T103" s="757" t="str">
        <v>Truck</v>
      </c>
      <c r="U103" s="742" t="str">
        <v>PTH - MCM</v>
      </c>
      <c r="V103" s="742" t="str">
        <v>FY24 inter</v>
      </c>
      <c r="W103" s="742" t="str">
        <v>FY24 Vessel</v>
      </c>
      <c r="X103" s="742" t="str">
        <v>USAP Vessel</v>
      </c>
      <c r="Y103" s="774" t="str">
        <v>-</v>
      </c>
      <c r="Z103" s="774" t="str">
        <v>-</v>
      </c>
      <c r="AA103" s="774">
        <v>2</v>
      </c>
      <c r="AB103" s="774" t="str">
        <v>-</v>
      </c>
      <c r="AC103" s="774" t="str">
        <v>-</v>
      </c>
      <c r="AD103" s="702">
        <v>45328</v>
      </c>
      <c r="AE103" s="363" t="str">
        <v>FY25 intra</v>
      </c>
      <c r="AF103" s="363" t="str">
        <v>FY25 SPOT 2</v>
      </c>
      <c r="AG103" s="316" t="str">
        <v>-</v>
      </c>
      <c r="AH103" s="316">
        <v>0.1</v>
      </c>
      <c r="AI103" s="316" t="str">
        <v>-</v>
      </c>
      <c r="AJ103" s="316" t="str">
        <v>-</v>
      </c>
      <c r="AK103" s="53">
        <v>45658</v>
      </c>
      <c r="AL103" s="53">
        <v>45979</v>
      </c>
      <c r="AM103" s="316">
        <v>321</v>
      </c>
      <c r="AN103" s="316">
        <v>765</v>
      </c>
      <c r="AO103" s="316" t="str">
        <v>Yes</v>
      </c>
      <c r="AP103" s="53" t="str">
        <v>D. Tosi</v>
      </c>
      <c r="AQ103" s="53">
        <v>44461</v>
      </c>
      <c r="AR103" s="53" t="str">
        <v>I. McEwen</v>
      </c>
      <c r="AS103" s="53">
        <v>44461</v>
      </c>
      <c r="AT103" s="53" t="str">
        <v>-</v>
      </c>
    </row>
    <row r="104" spans="1:46" s="8" customFormat="1" ht="17" x14ac:dyDescent="0.2">
      <c r="A104" s="275">
        <v>1.2</v>
      </c>
      <c r="B104" s="276" t="str">
        <v>Installation</v>
      </c>
      <c r="C104" s="277" t="str">
        <v xml:space="preserve">Installation Weights  87-93 </v>
      </c>
      <c r="D104" s="278" t="str">
        <v>Installation weights</v>
      </c>
      <c r="E104" s="4">
        <v>36</v>
      </c>
      <c r="F104" s="4">
        <v>24</v>
      </c>
      <c r="G104" s="4">
        <v>24</v>
      </c>
      <c r="H104" s="4">
        <v>7</v>
      </c>
      <c r="I104" s="539">
        <v>12</v>
      </c>
      <c r="J104" s="4">
        <v>84</v>
      </c>
      <c r="K104" s="4">
        <v>786</v>
      </c>
      <c r="L104" s="4">
        <v>5502</v>
      </c>
      <c r="M104" s="4" t="str">
        <v>estimated</v>
      </c>
      <c r="N104" s="4" t="str">
        <v>-</v>
      </c>
      <c r="O104" s="756" t="str">
        <v xml:space="preserve"> U. Wisc. Madison</v>
      </c>
      <c r="P104" s="758">
        <v>110</v>
      </c>
      <c r="Q104" s="878">
        <v>45104</v>
      </c>
      <c r="R104" s="757">
        <v>45214</v>
      </c>
      <c r="S104" s="757" t="str">
        <v>UWM - PTH</v>
      </c>
      <c r="T104" s="757" t="str">
        <v>Truck</v>
      </c>
      <c r="U104" s="742" t="str">
        <v>PTH - MCM</v>
      </c>
      <c r="V104" s="742" t="str">
        <v>FY24 inter</v>
      </c>
      <c r="W104" s="742" t="str">
        <v>FY24 Vessel</v>
      </c>
      <c r="X104" s="742" t="str">
        <v>USAP Vessel</v>
      </c>
      <c r="Y104" s="774" t="str">
        <v>-</v>
      </c>
      <c r="Z104" s="774" t="str">
        <v>-</v>
      </c>
      <c r="AA104" s="774">
        <v>1</v>
      </c>
      <c r="AB104" s="774" t="str">
        <v>-</v>
      </c>
      <c r="AC104" s="774" t="str">
        <v>-</v>
      </c>
      <c r="AD104" s="702">
        <v>45328</v>
      </c>
      <c r="AE104" s="363" t="str">
        <v>FY25 intra</v>
      </c>
      <c r="AF104" s="363" t="str">
        <v>FY25 SPOT 2</v>
      </c>
      <c r="AG104" s="316" t="str">
        <v>-</v>
      </c>
      <c r="AH104" s="316">
        <v>0.1</v>
      </c>
      <c r="AI104" s="316" t="str">
        <v>-</v>
      </c>
      <c r="AJ104" s="316" t="str">
        <v>-</v>
      </c>
      <c r="AK104" s="53">
        <v>45658</v>
      </c>
      <c r="AL104" s="53">
        <v>45979</v>
      </c>
      <c r="AM104" s="316">
        <v>321</v>
      </c>
      <c r="AN104" s="316">
        <v>765</v>
      </c>
      <c r="AO104" s="316" t="str">
        <v>Yes</v>
      </c>
      <c r="AP104" s="53" t="str">
        <v>D. Tosi</v>
      </c>
      <c r="AQ104" s="53">
        <v>44461</v>
      </c>
      <c r="AR104" s="53" t="str">
        <v>I. McEwen</v>
      </c>
      <c r="AS104" s="53">
        <v>44461</v>
      </c>
      <c r="AT104" s="53" t="str">
        <v>-</v>
      </c>
    </row>
    <row r="105" spans="1:46" s="8" customFormat="1" ht="68" x14ac:dyDescent="0.2">
      <c r="A105" s="9">
        <v>1.4</v>
      </c>
      <c r="B105" s="38" t="str">
        <v>Installation</v>
      </c>
      <c r="C105" s="11" t="str">
        <v>Main (downhole) cables 87-93</v>
      </c>
      <c r="D105" s="3" t="str">
        <v>May be possible to store in McMurdo until drill season - Do Not Deep Freeze</v>
      </c>
      <c r="E105" s="4">
        <v>96</v>
      </c>
      <c r="F105" s="4">
        <v>96</v>
      </c>
      <c r="G105" s="4">
        <v>96</v>
      </c>
      <c r="H105" s="4">
        <v>7</v>
      </c>
      <c r="I105" s="539">
        <v>512</v>
      </c>
      <c r="J105" s="4">
        <v>3584</v>
      </c>
      <c r="K105" s="4">
        <v>15000</v>
      </c>
      <c r="L105" s="4">
        <v>105000</v>
      </c>
      <c r="M105" s="4" t="str">
        <v>preliminary</v>
      </c>
      <c r="N105" s="4" t="str">
        <v>DNDF[-40C](*)</v>
      </c>
      <c r="O105" s="756" t="str">
        <v>MSU</v>
      </c>
      <c r="P105" s="758">
        <v>31</v>
      </c>
      <c r="Q105" s="878">
        <v>45183</v>
      </c>
      <c r="R105" s="757">
        <v>45214</v>
      </c>
      <c r="S105" s="757" t="str">
        <v>MSU - PTH</v>
      </c>
      <c r="T105" s="757" t="str">
        <v>Truck</v>
      </c>
      <c r="U105" s="742" t="str">
        <v>PTH - MCM</v>
      </c>
      <c r="V105" s="742" t="str">
        <v>FY24 inter</v>
      </c>
      <c r="W105" s="742" t="str">
        <v>FY24 Vessel</v>
      </c>
      <c r="X105" s="742" t="str">
        <v>USAP Vessel</v>
      </c>
      <c r="Y105" s="774" t="str">
        <v>-</v>
      </c>
      <c r="Z105" s="774" t="str">
        <v>-</v>
      </c>
      <c r="AA105" s="774">
        <v>2</v>
      </c>
      <c r="AB105" s="774" t="str">
        <v>-</v>
      </c>
      <c r="AC105" s="774" t="str">
        <v>-</v>
      </c>
      <c r="AD105" s="702">
        <v>45694</v>
      </c>
      <c r="AE105" s="363" t="str">
        <v>FY26 intra</v>
      </c>
      <c r="AF105" s="363" t="str">
        <v>FY26 SPOT 1</v>
      </c>
      <c r="AG105" s="316">
        <v>1.5</v>
      </c>
      <c r="AH105" s="316" t="str">
        <v>-</v>
      </c>
      <c r="AI105" s="316" t="str">
        <v>-</v>
      </c>
      <c r="AJ105" s="316" t="str">
        <v>-</v>
      </c>
      <c r="AK105" s="53">
        <v>45992</v>
      </c>
      <c r="AL105" s="53">
        <v>45993</v>
      </c>
      <c r="AM105" s="316">
        <v>1</v>
      </c>
      <c r="AN105" s="316">
        <v>779</v>
      </c>
      <c r="AO105" s="316" t="str">
        <v>Yes</v>
      </c>
      <c r="AP105" s="53" t="str">
        <v>T. DeYoung</v>
      </c>
      <c r="AQ105" s="53">
        <v>44459</v>
      </c>
      <c r="AR105" s="53" t="str">
        <v>D. Tosi</v>
      </c>
      <c r="AS105" s="53">
        <v>44662</v>
      </c>
      <c r="AT105" s="53" t="str">
        <v>Shipping date chosen to be 2 weeks after scheduled ready to ship date because of storage limitations at MSU. additional 7 months of float at Port Hueneme assuming USAP vessel departure.  (*) storage in McMurdo pending low temperature test.</v>
      </c>
    </row>
    <row r="106" spans="1:46" s="8" customFormat="1" ht="17" x14ac:dyDescent="0.2">
      <c r="A106" s="9">
        <v>1.2</v>
      </c>
      <c r="B106" s="38" t="str">
        <v>Fuel</v>
      </c>
      <c r="C106" s="11" t="str">
        <v>Field Season 1 Fuel</v>
      </c>
      <c r="D106" s="3" t="str">
        <v>Fuel to support FY23 field season - Base fuel</v>
      </c>
      <c r="E106" s="4">
        <v>0</v>
      </c>
      <c r="F106" s="4">
        <v>0</v>
      </c>
      <c r="G106" s="4">
        <v>0</v>
      </c>
      <c r="H106" s="4">
        <v>3191</v>
      </c>
      <c r="I106" s="539">
        <v>0</v>
      </c>
      <c r="J106" s="4">
        <v>426.58</v>
      </c>
      <c r="K106" s="4">
        <v>6.8</v>
      </c>
      <c r="L106" s="4">
        <v>21698.799999999999</v>
      </c>
      <c r="M106" s="4" t="str">
        <v>preliminary</v>
      </c>
      <c r="N106" s="4" t="str">
        <v>-</v>
      </c>
      <c r="O106" s="756" t="str">
        <v>-</v>
      </c>
      <c r="P106" s="758" t="str">
        <v>-</v>
      </c>
      <c r="Q106" s="237" t="str">
        <v>-</v>
      </c>
      <c r="R106" s="757" t="str">
        <v>-</v>
      </c>
      <c r="S106" s="757" t="str">
        <v>-</v>
      </c>
      <c r="T106" s="757" t="str">
        <v>-</v>
      </c>
      <c r="U106" s="742" t="str">
        <v>-</v>
      </c>
      <c r="V106" s="742" t="str">
        <v>FY24 inter</v>
      </c>
      <c r="W106" s="742" t="str">
        <v>-</v>
      </c>
      <c r="X106" s="742" t="str">
        <v>-</v>
      </c>
      <c r="Y106" s="774" t="str">
        <v>-</v>
      </c>
      <c r="Z106" s="774" t="str">
        <v>-</v>
      </c>
      <c r="AA106" s="774" t="str">
        <v>-</v>
      </c>
      <c r="AB106" s="774" t="str">
        <v>-</v>
      </c>
      <c r="AC106" s="774">
        <v>0</v>
      </c>
      <c r="AD106" s="702">
        <v>45231</v>
      </c>
      <c r="AE106" s="363" t="str">
        <v>FY24 intra</v>
      </c>
      <c r="AF106" s="363" t="str">
        <v>FY24 LC-Tanker</v>
      </c>
      <c r="AG106" s="316" t="str">
        <v>-</v>
      </c>
      <c r="AH106" s="316" t="str">
        <v>-</v>
      </c>
      <c r="AI106" s="316" t="str">
        <v>-</v>
      </c>
      <c r="AJ106" s="316">
        <v>0</v>
      </c>
      <c r="AK106" s="53">
        <v>45261</v>
      </c>
      <c r="AL106" s="53">
        <v>45261</v>
      </c>
      <c r="AM106" s="316">
        <v>0</v>
      </c>
      <c r="AN106" s="316" t="str">
        <v>-</v>
      </c>
      <c r="AO106" s="316" t="str">
        <v>Yes</v>
      </c>
      <c r="AP106" s="53" t="str">
        <v>T. Benson</v>
      </c>
      <c r="AQ106" s="53">
        <v>44483</v>
      </c>
      <c r="AR106" s="53" t="str">
        <v>I. McEwen</v>
      </c>
      <c r="AS106" s="53">
        <v>44483</v>
      </c>
      <c r="AT106" s="53" t="str">
        <v>-</v>
      </c>
    </row>
    <row r="107" spans="1:46" s="8" customFormat="1" ht="17" x14ac:dyDescent="0.2">
      <c r="A107" s="9">
        <v>1.2</v>
      </c>
      <c r="B107" s="38" t="str">
        <v>Fuel</v>
      </c>
      <c r="C107" s="11" t="str">
        <v>Field Season 1 Fuel Contingency</v>
      </c>
      <c r="D107" s="3" t="str">
        <v>Fuel to support FY23 field season - Contingency</v>
      </c>
      <c r="E107" s="4">
        <v>0</v>
      </c>
      <c r="F107" s="4">
        <v>0</v>
      </c>
      <c r="G107" s="4">
        <v>0</v>
      </c>
      <c r="H107" s="4">
        <v>452</v>
      </c>
      <c r="I107" s="539">
        <v>0</v>
      </c>
      <c r="J107" s="4">
        <v>60.43</v>
      </c>
      <c r="K107" s="4">
        <v>6.8</v>
      </c>
      <c r="L107" s="4">
        <v>3073.6</v>
      </c>
      <c r="M107" s="4" t="str">
        <v>preliminary</v>
      </c>
      <c r="N107" s="4" t="str">
        <v>-</v>
      </c>
      <c r="O107" s="756" t="str">
        <v>-</v>
      </c>
      <c r="P107" s="758" t="str">
        <v>-</v>
      </c>
      <c r="Q107" s="237" t="str">
        <v>-</v>
      </c>
      <c r="R107" s="757" t="str">
        <v>-</v>
      </c>
      <c r="S107" s="757" t="str">
        <v>-</v>
      </c>
      <c r="T107" s="757" t="str">
        <v>-</v>
      </c>
      <c r="U107" s="742" t="str">
        <v>-</v>
      </c>
      <c r="V107" s="742" t="str">
        <v>FY24 inter</v>
      </c>
      <c r="W107" s="742" t="str">
        <v>-</v>
      </c>
      <c r="X107" s="742" t="str">
        <v>-</v>
      </c>
      <c r="Y107" s="774" t="str">
        <v>-</v>
      </c>
      <c r="Z107" s="774" t="str">
        <v>-</v>
      </c>
      <c r="AA107" s="774" t="str">
        <v>-</v>
      </c>
      <c r="AB107" s="774" t="str">
        <v>-</v>
      </c>
      <c r="AC107" s="774">
        <v>0</v>
      </c>
      <c r="AD107" s="702">
        <v>45231</v>
      </c>
      <c r="AE107" s="363" t="str">
        <v>FY24 intra</v>
      </c>
      <c r="AF107" s="363" t="str">
        <v>FY24 LC-Tanker</v>
      </c>
      <c r="AG107" s="316" t="str">
        <v>-</v>
      </c>
      <c r="AH107" s="316" t="str">
        <v>-</v>
      </c>
      <c r="AI107" s="316" t="str">
        <v>-</v>
      </c>
      <c r="AJ107" s="316">
        <v>0</v>
      </c>
      <c r="AK107" s="53">
        <v>45261</v>
      </c>
      <c r="AL107" s="53">
        <v>45261</v>
      </c>
      <c r="AM107" s="316">
        <v>0</v>
      </c>
      <c r="AN107" s="316" t="str">
        <v>-</v>
      </c>
      <c r="AO107" s="316" t="str">
        <v>Yes</v>
      </c>
      <c r="AP107" s="53" t="str">
        <v>T. Benson</v>
      </c>
      <c r="AQ107" s="53">
        <v>44483</v>
      </c>
      <c r="AR107" s="53" t="str">
        <v>I. McEwen</v>
      </c>
      <c r="AS107" s="53">
        <v>44483</v>
      </c>
      <c r="AT107" s="53" t="str">
        <v>-</v>
      </c>
    </row>
    <row r="108" spans="1:46" s="8" customFormat="1" x14ac:dyDescent="0.2">
      <c r="A108" s="275"/>
      <c r="B108" s="276"/>
      <c r="C108" s="277"/>
      <c r="D108" s="278"/>
      <c r="E108" s="4"/>
      <c r="F108" s="4"/>
      <c r="G108" s="4"/>
      <c r="H108" s="4"/>
      <c r="I108" s="539"/>
      <c r="J108" s="4"/>
      <c r="K108" s="4"/>
      <c r="L108" s="4"/>
      <c r="M108" s="4"/>
      <c r="N108" s="4"/>
      <c r="O108" s="756"/>
      <c r="P108" s="758"/>
      <c r="Q108" s="237"/>
      <c r="R108" s="757"/>
      <c r="S108" s="757"/>
      <c r="T108" s="757"/>
      <c r="U108" s="742"/>
      <c r="V108" s="742"/>
      <c r="W108" s="742"/>
      <c r="X108" s="742"/>
      <c r="Y108" s="774"/>
      <c r="Z108" s="774"/>
      <c r="AA108" s="774"/>
      <c r="AB108" s="774"/>
      <c r="AC108" s="774"/>
      <c r="AD108" s="702"/>
      <c r="AE108" s="363"/>
      <c r="AF108" s="363"/>
      <c r="AG108" s="316"/>
      <c r="AH108" s="316"/>
      <c r="AI108" s="316"/>
      <c r="AJ108" s="316"/>
      <c r="AK108" s="53"/>
      <c r="AL108" s="53"/>
      <c r="AM108" s="316"/>
      <c r="AN108" s="316"/>
      <c r="AO108" s="316"/>
      <c r="AP108" s="53"/>
      <c r="AQ108" s="53"/>
      <c r="AR108" s="53"/>
      <c r="AS108" s="53"/>
      <c r="AT108" s="53"/>
    </row>
    <row r="109" spans="1:46" s="8" customFormat="1" x14ac:dyDescent="0.2">
      <c r="A109" s="9"/>
      <c r="B109" s="38"/>
      <c r="C109" s="11"/>
      <c r="D109" s="3"/>
      <c r="E109" s="4"/>
      <c r="F109" s="4"/>
      <c r="G109" s="4"/>
      <c r="H109" s="4"/>
      <c r="I109" s="539"/>
      <c r="J109" s="4"/>
      <c r="K109" s="4"/>
      <c r="L109" s="4"/>
      <c r="M109" s="4"/>
      <c r="N109" s="4"/>
      <c r="O109" s="756"/>
      <c r="P109" s="758"/>
      <c r="Q109" s="237"/>
      <c r="R109" s="757"/>
      <c r="S109" s="757"/>
      <c r="T109" s="757"/>
      <c r="U109" s="742"/>
      <c r="V109" s="742"/>
      <c r="W109" s="742"/>
      <c r="X109" s="742"/>
      <c r="Y109" s="774"/>
      <c r="Z109" s="774"/>
      <c r="AA109" s="774"/>
      <c r="AB109" s="774"/>
      <c r="AC109" s="774"/>
      <c r="AD109" s="702"/>
      <c r="AE109" s="363"/>
      <c r="AF109" s="363"/>
      <c r="AG109" s="316"/>
      <c r="AH109" s="316"/>
      <c r="AI109" s="316"/>
      <c r="AJ109" s="316"/>
      <c r="AK109" s="53"/>
      <c r="AL109" s="53"/>
      <c r="AM109" s="316"/>
      <c r="AN109" s="316"/>
      <c r="AO109" s="316"/>
      <c r="AP109" s="53"/>
      <c r="AQ109" s="53"/>
      <c r="AR109" s="53"/>
      <c r="AS109" s="53"/>
      <c r="AT109" s="53"/>
    </row>
    <row r="110" spans="1:46" s="8" customFormat="1" x14ac:dyDescent="0.2">
      <c r="A110" s="9"/>
      <c r="B110" s="38"/>
      <c r="C110" s="11"/>
      <c r="D110" s="3"/>
      <c r="E110" s="4"/>
      <c r="F110" s="4"/>
      <c r="G110" s="4"/>
      <c r="H110" s="4"/>
      <c r="I110" s="539"/>
      <c r="J110" s="4"/>
      <c r="K110" s="4"/>
      <c r="L110" s="4"/>
      <c r="M110" s="4"/>
      <c r="N110" s="4"/>
      <c r="O110" s="756"/>
      <c r="P110" s="758"/>
      <c r="Q110" s="237"/>
      <c r="R110" s="757"/>
      <c r="S110" s="757"/>
      <c r="T110" s="757"/>
      <c r="U110" s="742"/>
      <c r="V110" s="742"/>
      <c r="W110" s="742"/>
      <c r="X110" s="742"/>
      <c r="Y110" s="774"/>
      <c r="Z110" s="774"/>
      <c r="AA110" s="774"/>
      <c r="AB110" s="774"/>
      <c r="AC110" s="774"/>
      <c r="AD110" s="702"/>
      <c r="AE110" s="363"/>
      <c r="AF110" s="363"/>
      <c r="AG110" s="316"/>
      <c r="AH110" s="316"/>
      <c r="AI110" s="316"/>
      <c r="AJ110" s="316"/>
      <c r="AK110" s="53"/>
      <c r="AL110" s="53"/>
      <c r="AM110" s="316"/>
      <c r="AN110" s="316"/>
      <c r="AO110" s="316"/>
      <c r="AP110" s="53"/>
      <c r="AQ110" s="53"/>
      <c r="AR110" s="53"/>
      <c r="AS110" s="53"/>
      <c r="AT110" s="53"/>
    </row>
    <row r="111" spans="1:46" s="8" customFormat="1" ht="17" thickBot="1" x14ac:dyDescent="0.25">
      <c r="A111" s="9"/>
      <c r="B111" s="38"/>
      <c r="C111" s="11"/>
      <c r="D111" s="3"/>
      <c r="E111" s="4"/>
      <c r="F111" s="4"/>
      <c r="G111" s="4"/>
      <c r="H111" s="4"/>
      <c r="I111" s="539"/>
      <c r="J111" s="4"/>
      <c r="K111" s="4"/>
      <c r="L111" s="4"/>
      <c r="M111" s="4"/>
      <c r="N111" s="4"/>
      <c r="O111" s="756"/>
      <c r="P111" s="758"/>
      <c r="Q111" s="237"/>
      <c r="R111" s="757"/>
      <c r="S111" s="757"/>
      <c r="T111" s="757"/>
      <c r="U111" s="742"/>
      <c r="V111" s="742"/>
      <c r="W111" s="742"/>
      <c r="X111" s="742"/>
      <c r="Y111" s="774"/>
      <c r="Z111" s="774"/>
      <c r="AA111" s="774"/>
      <c r="AB111" s="774"/>
      <c r="AC111" s="774"/>
      <c r="AD111" s="702"/>
      <c r="AE111" s="363"/>
      <c r="AF111" s="363"/>
      <c r="AG111" s="316"/>
      <c r="AH111" s="316"/>
      <c r="AI111" s="316"/>
      <c r="AJ111" s="316"/>
      <c r="AK111" s="53"/>
      <c r="AL111" s="53"/>
      <c r="AM111" s="316"/>
      <c r="AN111" s="316"/>
      <c r="AO111" s="316"/>
      <c r="AP111" s="53"/>
      <c r="AQ111" s="53"/>
      <c r="AR111" s="53"/>
      <c r="AS111" s="53"/>
      <c r="AT111" s="53"/>
    </row>
    <row r="112" spans="1:46" s="395" customFormat="1" ht="17" thickBot="1" x14ac:dyDescent="0.25">
      <c r="A112" s="788"/>
      <c r="B112" s="788"/>
      <c r="C112" s="788"/>
      <c r="D112" s="788"/>
      <c r="E112" s="788"/>
      <c r="F112" s="788"/>
      <c r="G112" s="788"/>
      <c r="H112" s="788"/>
      <c r="I112" s="789"/>
      <c r="J112" s="319">
        <f>SUM(J101:J111)</f>
        <v>5319.01</v>
      </c>
      <c r="K112" s="788"/>
      <c r="L112" s="319">
        <f>SUM(L101:L111)</f>
        <v>149074.4</v>
      </c>
      <c r="M112" s="788"/>
      <c r="N112" s="788"/>
      <c r="O112" s="788"/>
      <c r="P112" s="789"/>
      <c r="Q112" s="791"/>
      <c r="R112" s="791"/>
      <c r="S112" s="791"/>
      <c r="T112" s="788"/>
      <c r="U112" s="788"/>
      <c r="V112" s="788"/>
      <c r="W112" s="788"/>
      <c r="X112" s="319">
        <f>AB112+AA112+(Y112*2)+(Z112*2)</f>
        <v>5.25</v>
      </c>
      <c r="Y112" s="319">
        <f>SUM(Y101:Y111)</f>
        <v>0</v>
      </c>
      <c r="Z112" s="317">
        <f>SUM(Z101:Z111)</f>
        <v>0</v>
      </c>
      <c r="AA112" s="317">
        <f>SUM(AA101:AA111)</f>
        <v>5</v>
      </c>
      <c r="AB112" s="319">
        <f>SUM(AB101:AB111)</f>
        <v>0.25</v>
      </c>
      <c r="AC112" s="319">
        <f>SUM(AC101:AC111)</f>
        <v>0.5</v>
      </c>
      <c r="AD112" s="791"/>
      <c r="AE112" s="791"/>
      <c r="AF112" s="792"/>
      <c r="AG112" s="792"/>
      <c r="AH112" s="788"/>
      <c r="AI112" s="791"/>
      <c r="AJ112" s="544"/>
      <c r="AK112" s="791"/>
      <c r="AL112" s="791"/>
      <c r="AM112" s="792"/>
      <c r="AN112" s="792"/>
      <c r="AO112" s="788"/>
      <c r="AP112" s="791"/>
      <c r="AQ112" s="788"/>
      <c r="AR112" s="793"/>
      <c r="AS112" s="788"/>
      <c r="AT112" s="788"/>
    </row>
    <row r="113" spans="1:46" s="395" customFormat="1" x14ac:dyDescent="0.2">
      <c r="A113" s="788"/>
      <c r="B113" s="788"/>
      <c r="C113" s="788"/>
      <c r="D113" s="788"/>
      <c r="E113" s="788"/>
      <c r="F113" s="788"/>
      <c r="G113" s="788"/>
      <c r="H113" s="788"/>
      <c r="I113" s="789"/>
      <c r="J113" s="54" t="s">
        <v>478</v>
      </c>
      <c r="K113" s="8"/>
      <c r="L113" s="8" t="s">
        <v>479</v>
      </c>
      <c r="M113" s="788"/>
      <c r="N113" s="788"/>
      <c r="O113" s="788"/>
      <c r="P113" s="789"/>
      <c r="Q113" s="791"/>
      <c r="R113" s="791"/>
      <c r="S113" s="791"/>
      <c r="T113" s="788"/>
      <c r="U113" s="788"/>
      <c r="V113" s="788"/>
      <c r="W113" s="788"/>
      <c r="X113" s="54" t="s">
        <v>485</v>
      </c>
      <c r="Y113" s="8" t="s">
        <v>486</v>
      </c>
      <c r="Z113" s="8" t="s">
        <v>487</v>
      </c>
      <c r="AA113" s="59" t="s">
        <v>488</v>
      </c>
      <c r="AB113" s="59" t="s">
        <v>489</v>
      </c>
      <c r="AC113" s="554" t="s">
        <v>484</v>
      </c>
      <c r="AD113" s="54"/>
      <c r="AE113" s="8"/>
      <c r="AF113" s="8"/>
      <c r="AG113" s="59"/>
      <c r="AH113" s="59"/>
      <c r="AI113" s="554"/>
      <c r="AJ113" s="544"/>
      <c r="AK113" s="791"/>
      <c r="AL113" s="791"/>
      <c r="AM113" s="792"/>
      <c r="AN113" s="792"/>
      <c r="AO113" s="788"/>
      <c r="AP113" s="791"/>
      <c r="AQ113" s="788"/>
      <c r="AR113" s="793"/>
      <c r="AS113" s="788"/>
      <c r="AT113" s="788"/>
    </row>
    <row r="114" spans="1:46" s="395" customFormat="1" x14ac:dyDescent="0.2">
      <c r="A114" s="788"/>
      <c r="B114" s="788"/>
      <c r="C114" s="788"/>
      <c r="D114" s="788"/>
      <c r="E114" s="788"/>
      <c r="F114" s="788"/>
      <c r="G114" s="788"/>
      <c r="H114" s="788"/>
      <c r="I114" s="789"/>
      <c r="J114" s="788"/>
      <c r="K114" s="788"/>
      <c r="L114" s="788"/>
      <c r="M114" s="788"/>
      <c r="N114" s="788"/>
      <c r="O114" s="788"/>
      <c r="P114" s="789"/>
      <c r="Q114" s="791"/>
      <c r="R114" s="791"/>
      <c r="S114" s="791"/>
      <c r="T114" s="788"/>
      <c r="U114" s="788"/>
      <c r="V114" s="788"/>
      <c r="W114" s="788"/>
      <c r="X114" s="788"/>
      <c r="Y114" s="792"/>
      <c r="Z114" s="792"/>
      <c r="AA114" s="792"/>
      <c r="AB114" s="792"/>
      <c r="AC114" s="792"/>
      <c r="AD114" s="791"/>
      <c r="AE114" s="792"/>
      <c r="AF114" s="792"/>
      <c r="AG114" s="792"/>
      <c r="AH114" s="792"/>
      <c r="AI114" s="792"/>
      <c r="AJ114" s="544"/>
      <c r="AK114" s="791"/>
      <c r="AL114" s="791"/>
      <c r="AM114" s="792"/>
      <c r="AN114" s="792"/>
      <c r="AO114" s="788"/>
      <c r="AP114" s="791"/>
      <c r="AQ114" s="788"/>
      <c r="AR114" s="793"/>
      <c r="AS114" s="788"/>
      <c r="AT114" s="788"/>
    </row>
    <row r="115" spans="1:46" s="425" customFormat="1" ht="19" x14ac:dyDescent="0.25">
      <c r="I115" s="525"/>
      <c r="P115" s="525"/>
      <c r="Q115" s="426"/>
      <c r="R115" s="426"/>
      <c r="S115" s="426"/>
      <c r="Y115" s="433"/>
      <c r="Z115" s="433"/>
      <c r="AA115" s="433"/>
      <c r="AB115" s="433"/>
      <c r="AC115" s="433"/>
      <c r="AD115" s="426"/>
      <c r="AE115" s="433"/>
      <c r="AF115" s="433"/>
      <c r="AG115" s="433"/>
      <c r="AH115" s="433"/>
      <c r="AI115" s="433"/>
      <c r="AJ115" s="549"/>
      <c r="AK115" s="426"/>
      <c r="AL115" s="553"/>
      <c r="AM115" s="434"/>
      <c r="AN115" s="433"/>
      <c r="AP115" s="426"/>
      <c r="AR115" s="537"/>
    </row>
    <row r="116" spans="1:46" s="425" customFormat="1" ht="19" x14ac:dyDescent="0.25">
      <c r="I116" s="525"/>
      <c r="P116" s="525"/>
      <c r="Q116" s="426"/>
      <c r="S116" s="426"/>
      <c r="Y116" s="433"/>
      <c r="Z116" s="433"/>
      <c r="AA116" s="433"/>
      <c r="AB116" s="433"/>
      <c r="AC116" s="433"/>
      <c r="AD116" s="426"/>
      <c r="AE116" s="433"/>
      <c r="AF116" s="433"/>
      <c r="AG116" s="433"/>
      <c r="AH116" s="433"/>
      <c r="AI116" s="433"/>
      <c r="AJ116" s="549"/>
      <c r="AK116" s="429"/>
      <c r="AL116" s="429"/>
      <c r="AM116" s="429"/>
      <c r="AN116" s="429"/>
      <c r="AP116" s="426"/>
      <c r="AR116" s="537"/>
    </row>
    <row r="117" spans="1:46" s="318" customFormat="1" x14ac:dyDescent="0.2">
      <c r="A117" s="396"/>
      <c r="B117" s="397"/>
      <c r="C117" s="398"/>
      <c r="D117" s="399"/>
      <c r="E117" s="400"/>
      <c r="F117" s="401"/>
      <c r="G117" s="401"/>
      <c r="H117" s="402"/>
      <c r="I117" s="583"/>
      <c r="J117" s="403"/>
      <c r="K117" s="403"/>
      <c r="L117" s="401"/>
      <c r="M117" s="401"/>
      <c r="N117" s="401"/>
      <c r="O117" s="404"/>
      <c r="P117" s="404"/>
      <c r="Q117" s="57"/>
      <c r="R117" s="57"/>
      <c r="S117" s="57"/>
      <c r="T117" s="57"/>
      <c r="U117" s="362"/>
      <c r="V117" s="23"/>
      <c r="W117" s="23"/>
      <c r="X117" s="23"/>
      <c r="Y117" s="368"/>
      <c r="Z117" s="368"/>
      <c r="AA117" s="368"/>
      <c r="AB117" s="368"/>
      <c r="AC117" s="368"/>
      <c r="AD117" s="534"/>
      <c r="AE117" s="366"/>
      <c r="AF117" s="366"/>
      <c r="AG117" s="366"/>
      <c r="AH117" s="366"/>
      <c r="AI117" s="366"/>
      <c r="AJ117" s="379"/>
      <c r="AK117" s="261"/>
      <c r="AL117" s="261"/>
      <c r="AM117" s="261"/>
      <c r="AN117" s="261"/>
      <c r="AO117" s="405"/>
      <c r="AP117" s="405"/>
      <c r="AQ117" s="534"/>
      <c r="AR117" s="534"/>
      <c r="AS117" s="534"/>
      <c r="AT117" s="534"/>
    </row>
    <row r="118" spans="1:46" s="416" customFormat="1" ht="20" x14ac:dyDescent="0.2">
      <c r="A118" s="388" t="s">
        <v>392</v>
      </c>
      <c r="B118" s="511"/>
      <c r="C118" s="511"/>
      <c r="D118" s="512"/>
      <c r="E118" s="512"/>
      <c r="F118" s="512"/>
      <c r="G118" s="512"/>
      <c r="H118" s="512"/>
      <c r="I118" s="526"/>
      <c r="J118" s="512"/>
      <c r="K118" s="512"/>
      <c r="L118" s="512"/>
      <c r="M118" s="512"/>
      <c r="N118" s="512"/>
      <c r="O118" s="512"/>
      <c r="P118" s="512"/>
      <c r="Q118" s="530"/>
      <c r="R118" s="530"/>
      <c r="S118" s="530"/>
      <c r="T118" s="530"/>
      <c r="U118" s="512"/>
      <c r="V118" s="512"/>
      <c r="W118" s="512"/>
      <c r="X118" s="512"/>
      <c r="Y118" s="513"/>
      <c r="Z118" s="513"/>
      <c r="AA118" s="513"/>
      <c r="AB118" s="513"/>
      <c r="AC118" s="513"/>
      <c r="AD118" s="414"/>
      <c r="AE118" s="422"/>
      <c r="AF118" s="422"/>
      <c r="AG118" s="422"/>
      <c r="AH118" s="422"/>
      <c r="AI118" s="422"/>
      <c r="AJ118" s="422"/>
      <c r="AK118" s="414"/>
      <c r="AL118" s="414"/>
      <c r="AM118" s="414"/>
      <c r="AN118" s="414"/>
      <c r="AO118" s="413"/>
      <c r="AP118" s="414"/>
      <c r="AQ118" s="414"/>
      <c r="AR118" s="414"/>
      <c r="AS118" s="414"/>
      <c r="AT118" s="414"/>
    </row>
    <row r="119" spans="1:46" s="8" customFormat="1" ht="17" x14ac:dyDescent="0.2">
      <c r="A119" s="9" cm="1">
        <f t="array" ref="A119:AT130">_xlfn._xlws.FILTER(cargo_table, intra_shipping_label=A118)</f>
        <v>1.2</v>
      </c>
      <c r="B119" s="38" t="str">
        <v>Drill</v>
      </c>
      <c r="C119" s="11" t="str">
        <v>Gen 2 - housed in 20' container</v>
      </c>
      <c r="D119" s="3" t="str">
        <v>Power generation unit 2 housed in 20' shipping container</v>
      </c>
      <c r="E119" s="4">
        <v>240</v>
      </c>
      <c r="F119" s="4">
        <v>96</v>
      </c>
      <c r="G119" s="4">
        <v>102</v>
      </c>
      <c r="H119" s="4">
        <v>1</v>
      </c>
      <c r="I119" s="539">
        <v>1360</v>
      </c>
      <c r="J119" s="4">
        <v>1360</v>
      </c>
      <c r="K119" s="4">
        <v>22000</v>
      </c>
      <c r="L119" s="4">
        <v>22000</v>
      </c>
      <c r="M119" s="4" t="str">
        <v>actual</v>
      </c>
      <c r="N119" s="4" t="str">
        <v>-</v>
      </c>
      <c r="O119" s="756" t="str">
        <v xml:space="preserve"> U. Wisc. Madison</v>
      </c>
      <c r="P119" s="758" t="str">
        <v>In McMurdo</v>
      </c>
      <c r="Q119" s="237">
        <v>43845</v>
      </c>
      <c r="R119" s="757" t="str">
        <v>-</v>
      </c>
      <c r="S119" s="757" t="str">
        <v>In McMurdo</v>
      </c>
      <c r="T119" s="757" t="str">
        <v>-</v>
      </c>
      <c r="U119" s="742" t="str">
        <v>In McMurdo</v>
      </c>
      <c r="V119" s="742" t="str">
        <v>FY23 inter</v>
      </c>
      <c r="W119" s="742" t="str">
        <v>FY23 Vessel</v>
      </c>
      <c r="X119" s="742" t="str">
        <v>USAP Vessel</v>
      </c>
      <c r="Y119" s="774" t="str">
        <v>-</v>
      </c>
      <c r="Z119" s="774" t="str">
        <v>-</v>
      </c>
      <c r="AA119" s="774" t="str">
        <v>-</v>
      </c>
      <c r="AB119" s="774" t="str">
        <v>-</v>
      </c>
      <c r="AC119" s="774" t="str">
        <v>-</v>
      </c>
      <c r="AD119" s="702">
        <v>44963</v>
      </c>
      <c r="AE119" s="363" t="str">
        <v>FY24 intra</v>
      </c>
      <c r="AF119" s="363" t="str">
        <v>FY24 SPOT 1</v>
      </c>
      <c r="AG119" s="316">
        <v>0.5</v>
      </c>
      <c r="AH119" s="316">
        <v>0</v>
      </c>
      <c r="AI119" s="316" t="str">
        <v>-</v>
      </c>
      <c r="AJ119" s="316" t="str">
        <v>-</v>
      </c>
      <c r="AK119" s="53">
        <v>45261</v>
      </c>
      <c r="AL119" s="53">
        <v>45261</v>
      </c>
      <c r="AM119" s="316">
        <v>0</v>
      </c>
      <c r="AN119" s="316" t="str">
        <v>-</v>
      </c>
      <c r="AO119" s="316" t="str">
        <v>Yes</v>
      </c>
      <c r="AP119" s="53" t="str">
        <v>I. McEwen</v>
      </c>
      <c r="AQ119" s="53">
        <v>44616</v>
      </c>
      <c r="AR119" s="53" t="str">
        <v>D.Tosi</v>
      </c>
      <c r="AS119" s="53">
        <v>44616</v>
      </c>
      <c r="AT119" s="53" t="str">
        <v xml:space="preserve">Gens 2 Going back to CHC for repairs </v>
      </c>
    </row>
    <row r="120" spans="1:46" s="8" customFormat="1" ht="51" x14ac:dyDescent="0.2">
      <c r="A120" s="9">
        <v>1.2</v>
      </c>
      <c r="B120" s="38" t="str">
        <v>Drill</v>
      </c>
      <c r="C120" s="11" t="str">
        <v>ARA Drill System Components - Crate #1</v>
      </c>
      <c r="D120" s="3" t="str">
        <v>ARA (Antarctic Rodwell Appartus) - downhole pump controller, ePump controller, splash cam kit, and accessories - Do Not Freeze</v>
      </c>
      <c r="E120" s="4">
        <v>96</v>
      </c>
      <c r="F120" s="4">
        <v>48</v>
      </c>
      <c r="G120" s="4">
        <v>48</v>
      </c>
      <c r="H120" s="4">
        <v>1</v>
      </c>
      <c r="I120" s="539">
        <v>128</v>
      </c>
      <c r="J120" s="4">
        <v>128</v>
      </c>
      <c r="K120" s="4">
        <v>1200</v>
      </c>
      <c r="L120" s="4">
        <v>1200</v>
      </c>
      <c r="M120" s="4" t="str">
        <v>estimated</v>
      </c>
      <c r="N120" s="4" t="str">
        <v>DNF</v>
      </c>
      <c r="O120" s="756" t="str">
        <v xml:space="preserve"> U. Wisc. Madison</v>
      </c>
      <c r="P120" s="758">
        <v>30</v>
      </c>
      <c r="Q120" s="878">
        <v>44819</v>
      </c>
      <c r="R120" s="757">
        <v>44849</v>
      </c>
      <c r="S120" s="757" t="str">
        <v>UWM - PTH</v>
      </c>
      <c r="T120" s="757" t="str">
        <v xml:space="preserve"> Truck</v>
      </c>
      <c r="U120" s="742" t="str">
        <v>PTH - MCM</v>
      </c>
      <c r="V120" s="742" t="str">
        <v>FY23 inter</v>
      </c>
      <c r="W120" s="742" t="str">
        <v>FY23 Vessel</v>
      </c>
      <c r="X120" s="742" t="str">
        <v>USAP Vessel</v>
      </c>
      <c r="Y120" s="774" t="str">
        <v>-</v>
      </c>
      <c r="Z120" s="774" t="str">
        <v>-</v>
      </c>
      <c r="AA120" s="774" t="str">
        <v>-</v>
      </c>
      <c r="AB120" s="774">
        <v>0.5</v>
      </c>
      <c r="AC120" s="774">
        <v>0.25</v>
      </c>
      <c r="AD120" s="702">
        <v>44963</v>
      </c>
      <c r="AE120" s="363" t="str">
        <v>FY24 intra</v>
      </c>
      <c r="AF120" s="363" t="str">
        <v>FY24 LC-130</v>
      </c>
      <c r="AG120" s="316" t="str">
        <v>-</v>
      </c>
      <c r="AH120" s="316" t="str">
        <v>-</v>
      </c>
      <c r="AI120" s="316" t="str">
        <v>-</v>
      </c>
      <c r="AJ120" s="316">
        <v>0.25</v>
      </c>
      <c r="AK120" s="53">
        <v>45245</v>
      </c>
      <c r="AL120" s="53">
        <v>45261</v>
      </c>
      <c r="AM120" s="316">
        <v>16</v>
      </c>
      <c r="AN120" s="316">
        <v>412</v>
      </c>
      <c r="AO120" s="316" t="str">
        <v>Yes</v>
      </c>
      <c r="AP120" s="53" t="str">
        <v>D. Gibson</v>
      </c>
      <c r="AQ120" s="53">
        <v>44477</v>
      </c>
      <c r="AR120" s="53" t="str">
        <v>I. McEwen</v>
      </c>
      <c r="AS120" s="53">
        <v>44477</v>
      </c>
      <c r="AT120" s="53" t="str">
        <v>-</v>
      </c>
    </row>
    <row r="121" spans="1:46" s="8" customFormat="1" ht="68" x14ac:dyDescent="0.2">
      <c r="A121" s="9">
        <v>1.2</v>
      </c>
      <c r="B121" s="38" t="str">
        <v>Drill</v>
      </c>
      <c r="C121" s="11" t="str">
        <v>Computing/controls components Shipment #1</v>
      </c>
      <c r="D121" s="3" t="str">
        <v>Components and equipment to support field season 1 controls system tasking). Controls infrastructure - Motor drives, PLCs, electrical hardware, and motor drive mounting kits) - Do Not Freeze</v>
      </c>
      <c r="E121" s="4">
        <v>96</v>
      </c>
      <c r="F121" s="4">
        <v>48</v>
      </c>
      <c r="G121" s="4">
        <v>48</v>
      </c>
      <c r="H121" s="4">
        <v>1</v>
      </c>
      <c r="I121" s="539">
        <v>128</v>
      </c>
      <c r="J121" s="4">
        <v>128</v>
      </c>
      <c r="K121" s="4">
        <v>3000</v>
      </c>
      <c r="L121" s="4">
        <v>3000</v>
      </c>
      <c r="M121" s="4" t="str">
        <v>estimated</v>
      </c>
      <c r="N121" s="4" t="str">
        <v>DNF</v>
      </c>
      <c r="O121" s="756" t="str">
        <v xml:space="preserve"> U. Wisc. Madison</v>
      </c>
      <c r="P121" s="758">
        <v>14</v>
      </c>
      <c r="Q121" s="878">
        <v>44835</v>
      </c>
      <c r="R121" s="757">
        <v>44849</v>
      </c>
      <c r="S121" s="757" t="str">
        <v>UWM - PTH</v>
      </c>
      <c r="T121" s="757" t="str">
        <v>Truck</v>
      </c>
      <c r="U121" s="742" t="str">
        <v>PTH - CHC</v>
      </c>
      <c r="V121" s="742" t="str">
        <v>FY23 inter</v>
      </c>
      <c r="W121" s="742" t="str">
        <v>FY23 Vessel</v>
      </c>
      <c r="X121" s="742" t="str">
        <v>USAP Vessel</v>
      </c>
      <c r="Y121" s="774" t="str">
        <v>-</v>
      </c>
      <c r="Z121" s="774" t="str">
        <v>-</v>
      </c>
      <c r="AA121" s="774" t="str">
        <v>-</v>
      </c>
      <c r="AB121" s="774" t="str">
        <v>-</v>
      </c>
      <c r="AC121" s="774">
        <v>0.5</v>
      </c>
      <c r="AD121" s="702">
        <v>44963</v>
      </c>
      <c r="AE121" s="363" t="str">
        <v>FY24 intra</v>
      </c>
      <c r="AF121" s="363" t="str">
        <v>FY24 LC-130</v>
      </c>
      <c r="AG121" s="316" t="str">
        <v>-</v>
      </c>
      <c r="AH121" s="316" t="str">
        <v>-</v>
      </c>
      <c r="AI121" s="316" t="str">
        <v>-</v>
      </c>
      <c r="AJ121" s="316">
        <v>0.5</v>
      </c>
      <c r="AK121" s="53">
        <v>45245</v>
      </c>
      <c r="AL121" s="53">
        <v>45245</v>
      </c>
      <c r="AM121" s="316">
        <v>0</v>
      </c>
      <c r="AN121" s="316">
        <v>396</v>
      </c>
      <c r="AO121" s="316" t="str">
        <v>Yes</v>
      </c>
      <c r="AP121" s="53" t="str">
        <v>D. Gibson</v>
      </c>
      <c r="AQ121" s="53">
        <v>44477</v>
      </c>
      <c r="AR121" s="53" t="str">
        <v>I. McEwen</v>
      </c>
      <c r="AS121" s="53">
        <v>44477</v>
      </c>
      <c r="AT121" s="53" t="str">
        <v>Weight estimated</v>
      </c>
    </row>
    <row r="122" spans="1:46" s="8" customFormat="1" ht="34" x14ac:dyDescent="0.2">
      <c r="A122" s="275">
        <v>1.2</v>
      </c>
      <c r="B122" s="276" t="str">
        <v>Drill</v>
      </c>
      <c r="C122" s="277" t="str">
        <v>Computing/controls components Shipment #2</v>
      </c>
      <c r="D122" s="278" t="str">
        <v>Computing and controls equipment (Motor drives and other sensitive electronics) - Do Not Freeze</v>
      </c>
      <c r="E122" s="4">
        <v>96</v>
      </c>
      <c r="F122" s="4">
        <v>48</v>
      </c>
      <c r="G122" s="4">
        <v>48</v>
      </c>
      <c r="H122" s="4">
        <v>1</v>
      </c>
      <c r="I122" s="539">
        <v>128</v>
      </c>
      <c r="J122" s="4">
        <v>128</v>
      </c>
      <c r="K122" s="4">
        <v>3000</v>
      </c>
      <c r="L122" s="4">
        <v>3000</v>
      </c>
      <c r="M122" s="4" t="str">
        <v>estimated</v>
      </c>
      <c r="N122" s="4" t="str">
        <v>DNF</v>
      </c>
      <c r="O122" s="756" t="str">
        <v xml:space="preserve"> U. Wisc. Madison</v>
      </c>
      <c r="P122" s="758">
        <v>31</v>
      </c>
      <c r="Q122" s="878">
        <v>45108</v>
      </c>
      <c r="R122" s="757">
        <v>45139</v>
      </c>
      <c r="S122" s="757" t="str">
        <v>UWM - PTH</v>
      </c>
      <c r="T122" s="757" t="str">
        <v>Truck</v>
      </c>
      <c r="U122" s="742" t="str">
        <v>PTH - CHC</v>
      </c>
      <c r="V122" s="742" t="str">
        <v>FY24 inter</v>
      </c>
      <c r="W122" s="742" t="str">
        <v>FY24 ComSur</v>
      </c>
      <c r="X122" s="742" t="str">
        <v>USAP Air</v>
      </c>
      <c r="Y122" s="774" t="str">
        <v>-</v>
      </c>
      <c r="Z122" s="774" t="str">
        <v>-</v>
      </c>
      <c r="AA122" s="774" t="str">
        <v>-</v>
      </c>
      <c r="AB122" s="774" t="str">
        <v>-</v>
      </c>
      <c r="AC122" s="774">
        <v>0.5</v>
      </c>
      <c r="AD122" s="702">
        <v>45231</v>
      </c>
      <c r="AE122" s="363" t="str">
        <v>FY24 intra</v>
      </c>
      <c r="AF122" s="363" t="str">
        <v>FY24 LC-130</v>
      </c>
      <c r="AG122" s="316" t="str">
        <v>-</v>
      </c>
      <c r="AH122" s="316" t="str">
        <v>-</v>
      </c>
      <c r="AI122" s="316" t="str">
        <v>-</v>
      </c>
      <c r="AJ122" s="316">
        <v>0.5</v>
      </c>
      <c r="AK122" s="53">
        <v>45245</v>
      </c>
      <c r="AL122" s="53">
        <v>45245</v>
      </c>
      <c r="AM122" s="316">
        <v>0</v>
      </c>
      <c r="AN122" s="316">
        <v>106</v>
      </c>
      <c r="AO122" s="316" t="str">
        <v>Yes</v>
      </c>
      <c r="AP122" s="53" t="str">
        <v>D. Gibson</v>
      </c>
      <c r="AQ122" s="53">
        <v>44477</v>
      </c>
      <c r="AR122" s="53" t="str">
        <v>I. McEwen</v>
      </c>
      <c r="AS122" s="53">
        <v>44477</v>
      </c>
      <c r="AT122" s="53" t="str">
        <v>Required onsite in FW YR 2 to support controls system tasking</v>
      </c>
    </row>
    <row r="123" spans="1:46" s="8" customFormat="1" ht="68" x14ac:dyDescent="0.2">
      <c r="A123" s="9">
        <v>1.2</v>
      </c>
      <c r="B123" s="38" t="str">
        <v>Drill</v>
      </c>
      <c r="C123" s="11" t="str">
        <v>20' Refit Container C: Bull Wheel, Spare Combo &amp; Drill Cables, Hose Heating System Components, ARA Drill System Components Crate #2</v>
      </c>
      <c r="D123" s="3" t="str">
        <v>Bull wheel assembly - used to install main cable on reel in event of main cable damage/failure; Spare cable for Return Water Cable Reel - on spool; ARA new downhole pumps, spares, accessories and tools</v>
      </c>
      <c r="E123" s="4">
        <v>240</v>
      </c>
      <c r="F123" s="4">
        <v>96</v>
      </c>
      <c r="G123" s="4">
        <v>102</v>
      </c>
      <c r="H123" s="4">
        <v>1</v>
      </c>
      <c r="I123" s="539">
        <v>1360</v>
      </c>
      <c r="J123" s="4">
        <v>1360</v>
      </c>
      <c r="K123" s="4">
        <v>21500</v>
      </c>
      <c r="L123" s="4">
        <v>21500</v>
      </c>
      <c r="M123" s="4" t="str">
        <v>actual</v>
      </c>
      <c r="N123" s="4" t="str">
        <v>-</v>
      </c>
      <c r="O123" s="756" t="str">
        <v xml:space="preserve"> U. Wisc. Madison</v>
      </c>
      <c r="P123" s="758">
        <v>31</v>
      </c>
      <c r="Q123" s="878">
        <v>44818</v>
      </c>
      <c r="R123" s="757">
        <v>44849</v>
      </c>
      <c r="S123" s="757" t="str">
        <v>UWM - PTH</v>
      </c>
      <c r="T123" s="757" t="str">
        <v>Truck</v>
      </c>
      <c r="U123" s="742" t="str">
        <v>PTH - MCM</v>
      </c>
      <c r="V123" s="742" t="str">
        <v>FY23 inter</v>
      </c>
      <c r="W123" s="742" t="str">
        <v>FY23 Vessel</v>
      </c>
      <c r="X123" s="742" t="str">
        <v>USAP Vessel</v>
      </c>
      <c r="Y123" s="774" t="str">
        <v>-</v>
      </c>
      <c r="Z123" s="774" t="str">
        <v>-</v>
      </c>
      <c r="AA123" s="774">
        <v>1</v>
      </c>
      <c r="AB123" s="774" t="str">
        <v>-</v>
      </c>
      <c r="AC123" s="774" t="str">
        <v>-</v>
      </c>
      <c r="AD123" s="702">
        <v>44963</v>
      </c>
      <c r="AE123" s="363" t="str">
        <v>FY24 intra</v>
      </c>
      <c r="AF123" s="363" t="str">
        <v>FY24 SPOT 1</v>
      </c>
      <c r="AG123" s="316">
        <v>0.5</v>
      </c>
      <c r="AH123" s="316" t="str">
        <v>-</v>
      </c>
      <c r="AI123" s="316" t="str">
        <v>-</v>
      </c>
      <c r="AJ123" s="316" t="str">
        <v>-</v>
      </c>
      <c r="AK123" s="53">
        <v>45261</v>
      </c>
      <c r="AL123" s="53">
        <v>45679</v>
      </c>
      <c r="AM123" s="316">
        <v>418</v>
      </c>
      <c r="AN123" s="316">
        <v>830</v>
      </c>
      <c r="AO123" s="316" t="str">
        <v>Yes</v>
      </c>
      <c r="AP123" s="53" t="str">
        <v>I. McEwen</v>
      </c>
      <c r="AQ123" s="53">
        <v>44616</v>
      </c>
      <c r="AR123" s="53" t="str">
        <v>D. Tosi</v>
      </c>
      <c r="AS123" s="53">
        <v>44616</v>
      </c>
      <c r="AT123" s="53" t="str">
        <v>Consolidation: 20 ft container with Bull Wheel, Spare Combo &amp; Drill Cables, Hose Heating System Components, ARA Drill System Components Crate #2</v>
      </c>
    </row>
    <row r="124" spans="1:46" s="8" customFormat="1" ht="17" x14ac:dyDescent="0.2">
      <c r="A124" s="9">
        <v>1.2</v>
      </c>
      <c r="B124" s="38" t="str">
        <v>Drill</v>
      </c>
      <c r="C124" s="11" t="str">
        <v>Drill Heads - X</v>
      </c>
      <c r="D124" s="3" t="str">
        <v>Drill Heads for winterover storage - ICL  - Do Not Freeze</v>
      </c>
      <c r="E124" s="4">
        <v>192</v>
      </c>
      <c r="F124" s="4">
        <v>24</v>
      </c>
      <c r="G124" s="4">
        <v>24</v>
      </c>
      <c r="H124" s="4">
        <v>1</v>
      </c>
      <c r="I124" s="539">
        <v>64</v>
      </c>
      <c r="J124" s="4">
        <v>64</v>
      </c>
      <c r="K124" s="4">
        <v>1060</v>
      </c>
      <c r="L124" s="4">
        <v>1060</v>
      </c>
      <c r="M124" s="4" t="str">
        <v>actual</v>
      </c>
      <c r="N124" s="4" t="str">
        <v>DNF</v>
      </c>
      <c r="O124" s="756" t="str">
        <v xml:space="preserve"> U. Wisc. Madison</v>
      </c>
      <c r="P124" s="758">
        <v>409</v>
      </c>
      <c r="Q124" s="237">
        <v>44440</v>
      </c>
      <c r="R124" s="757">
        <v>44849</v>
      </c>
      <c r="S124" s="757" t="str">
        <v>UWM - PTH</v>
      </c>
      <c r="T124" s="757" t="str">
        <v>Truck</v>
      </c>
      <c r="U124" s="742" t="str">
        <v>PTH - MCM</v>
      </c>
      <c r="V124" s="742" t="str">
        <v>FY23 inter</v>
      </c>
      <c r="W124" s="742" t="str">
        <v>FY23 Vessel</v>
      </c>
      <c r="X124" s="742" t="str">
        <v>USAP Vessel</v>
      </c>
      <c r="Y124" s="774" t="str">
        <v>-</v>
      </c>
      <c r="Z124" s="774" t="str">
        <v>-</v>
      </c>
      <c r="AA124" s="774">
        <v>0.25</v>
      </c>
      <c r="AB124" s="774" t="str">
        <v>-</v>
      </c>
      <c r="AC124" s="774" t="str">
        <v>-</v>
      </c>
      <c r="AD124" s="702">
        <v>44963</v>
      </c>
      <c r="AE124" s="363" t="str">
        <v>FY24 intra</v>
      </c>
      <c r="AF124" s="363" t="str">
        <v>FY24 LC-130</v>
      </c>
      <c r="AG124" s="316" t="str">
        <v>-</v>
      </c>
      <c r="AH124" s="316" t="str">
        <v>-</v>
      </c>
      <c r="AI124" s="316" t="str">
        <v>-</v>
      </c>
      <c r="AJ124" s="316">
        <v>0.3</v>
      </c>
      <c r="AK124" s="53">
        <v>45328</v>
      </c>
      <c r="AL124" s="53">
        <v>45976</v>
      </c>
      <c r="AM124" s="316">
        <v>648</v>
      </c>
      <c r="AN124" s="316">
        <v>1127</v>
      </c>
      <c r="AO124" s="316" t="str">
        <v>Yes</v>
      </c>
      <c r="AP124" s="53" t="str">
        <v>D. Gibson</v>
      </c>
      <c r="AQ124" s="53">
        <v>44477</v>
      </c>
      <c r="AR124" s="53" t="str">
        <v>I. McEwen</v>
      </c>
      <c r="AS124" s="53">
        <v>44477</v>
      </c>
      <c r="AT124" s="53" t="str">
        <v>One drill head shipped one year early for ull system wet-test</v>
      </c>
    </row>
    <row r="125" spans="1:46" s="8" customFormat="1" ht="17" x14ac:dyDescent="0.2">
      <c r="A125" s="9">
        <v>1.2</v>
      </c>
      <c r="B125" s="38" t="str">
        <v>Drill</v>
      </c>
      <c r="C125" s="11" t="str">
        <v>Drill Heads - Y</v>
      </c>
      <c r="D125" s="3" t="str">
        <v>Drill Heads for winterover storage - ICL  - Do Not Freeze</v>
      </c>
      <c r="E125" s="4">
        <v>192</v>
      </c>
      <c r="F125" s="4">
        <v>24</v>
      </c>
      <c r="G125" s="4">
        <v>24</v>
      </c>
      <c r="H125" s="4">
        <v>1</v>
      </c>
      <c r="I125" s="539">
        <v>64</v>
      </c>
      <c r="J125" s="4">
        <v>64</v>
      </c>
      <c r="K125" s="4">
        <v>1060</v>
      </c>
      <c r="L125" s="4">
        <v>1060</v>
      </c>
      <c r="M125" s="4" t="str">
        <v>actual</v>
      </c>
      <c r="N125" s="4" t="str">
        <v>DNF</v>
      </c>
      <c r="O125" s="756" t="str">
        <v xml:space="preserve"> U. Wisc. Madison</v>
      </c>
      <c r="P125" s="758">
        <v>409</v>
      </c>
      <c r="Q125" s="237">
        <v>44440</v>
      </c>
      <c r="R125" s="757">
        <v>44849</v>
      </c>
      <c r="S125" s="757" t="str">
        <v>UWM - PTH</v>
      </c>
      <c r="T125" s="757" t="str">
        <v>Truck</v>
      </c>
      <c r="U125" s="742" t="str">
        <v>PTH - MCM</v>
      </c>
      <c r="V125" s="742" t="str">
        <v>FY23 inter</v>
      </c>
      <c r="W125" s="742" t="str">
        <v>FY23 Vessel</v>
      </c>
      <c r="X125" s="742" t="str">
        <v>USAP Vessel</v>
      </c>
      <c r="Y125" s="774" t="str">
        <v>-</v>
      </c>
      <c r="Z125" s="774" t="str">
        <v>-</v>
      </c>
      <c r="AA125" s="774">
        <v>0.25</v>
      </c>
      <c r="AB125" s="774" t="str">
        <v>-</v>
      </c>
      <c r="AC125" s="774" t="str">
        <v>-</v>
      </c>
      <c r="AD125" s="702">
        <v>44963</v>
      </c>
      <c r="AE125" s="363" t="str">
        <v>FY24 intra</v>
      </c>
      <c r="AF125" s="363" t="str">
        <v>FY24 LC-130</v>
      </c>
      <c r="AG125" s="316" t="str">
        <v>-</v>
      </c>
      <c r="AH125" s="316" t="str">
        <v>-</v>
      </c>
      <c r="AI125" s="316" t="str">
        <v>-</v>
      </c>
      <c r="AJ125" s="316">
        <v>0.3</v>
      </c>
      <c r="AK125" s="53">
        <v>45328</v>
      </c>
      <c r="AL125" s="53">
        <v>45976</v>
      </c>
      <c r="AM125" s="316">
        <v>648</v>
      </c>
      <c r="AN125" s="316">
        <v>1127</v>
      </c>
      <c r="AO125" s="316" t="str">
        <v>Yes</v>
      </c>
      <c r="AP125" s="53" t="str">
        <v>D. Gibson</v>
      </c>
      <c r="AQ125" s="53">
        <v>44477</v>
      </c>
      <c r="AR125" s="53" t="str">
        <v>I. McEwen</v>
      </c>
      <c r="AS125" s="53">
        <v>44477</v>
      </c>
      <c r="AT125" s="53" t="str">
        <v>-</v>
      </c>
    </row>
    <row r="126" spans="1:46" s="8" customFormat="1" ht="17" x14ac:dyDescent="0.2">
      <c r="A126" s="275">
        <v>1.2</v>
      </c>
      <c r="B126" s="276" t="str">
        <v>Drill</v>
      </c>
      <c r="C126" s="277" t="str">
        <v>Drill Heads - R</v>
      </c>
      <c r="D126" s="278" t="str">
        <v xml:space="preserve">Drill Heads for winterover storage - ICL  - Do Not Freeze </v>
      </c>
      <c r="E126" s="4">
        <v>192</v>
      </c>
      <c r="F126" s="4">
        <v>24</v>
      </c>
      <c r="G126" s="4">
        <v>24</v>
      </c>
      <c r="H126" s="4">
        <v>1</v>
      </c>
      <c r="I126" s="539">
        <v>64</v>
      </c>
      <c r="J126" s="4">
        <v>64</v>
      </c>
      <c r="K126" s="4">
        <v>1060</v>
      </c>
      <c r="L126" s="4">
        <v>1060</v>
      </c>
      <c r="M126" s="4" t="str">
        <v>actual</v>
      </c>
      <c r="N126" s="4" t="str">
        <v>DNF</v>
      </c>
      <c r="O126" s="756" t="str">
        <v xml:space="preserve"> U. Wisc. Madison</v>
      </c>
      <c r="P126" s="758">
        <v>409</v>
      </c>
      <c r="Q126" s="237">
        <v>44440</v>
      </c>
      <c r="R126" s="757">
        <v>44849</v>
      </c>
      <c r="S126" s="757" t="str">
        <v>UWM - PTH</v>
      </c>
      <c r="T126" s="757" t="str">
        <v>Truck</v>
      </c>
      <c r="U126" s="742" t="str">
        <v>PTH - MCM</v>
      </c>
      <c r="V126" s="742" t="str">
        <v>FY23 inter</v>
      </c>
      <c r="W126" s="742" t="str">
        <v>FY23 Vessel</v>
      </c>
      <c r="X126" s="742" t="str">
        <v>USAP Vessel</v>
      </c>
      <c r="Y126" s="774" t="str">
        <v>-</v>
      </c>
      <c r="Z126" s="774" t="str">
        <v>-</v>
      </c>
      <c r="AA126" s="774">
        <v>0.25</v>
      </c>
      <c r="AB126" s="774" t="str">
        <v>-</v>
      </c>
      <c r="AC126" s="774" t="str">
        <v>-</v>
      </c>
      <c r="AD126" s="702">
        <v>44963</v>
      </c>
      <c r="AE126" s="363" t="str">
        <v>FY24 intra</v>
      </c>
      <c r="AF126" s="363" t="str">
        <v>FY24 LC-130</v>
      </c>
      <c r="AG126" s="316" t="str">
        <v>-</v>
      </c>
      <c r="AH126" s="316" t="str">
        <v>-</v>
      </c>
      <c r="AI126" s="316" t="str">
        <v>-</v>
      </c>
      <c r="AJ126" s="316">
        <v>0.3</v>
      </c>
      <c r="AK126" s="53">
        <v>45328</v>
      </c>
      <c r="AL126" s="53">
        <v>45976</v>
      </c>
      <c r="AM126" s="316">
        <v>648</v>
      </c>
      <c r="AN126" s="316">
        <v>1127</v>
      </c>
      <c r="AO126" s="316" t="str">
        <v>Yes</v>
      </c>
      <c r="AP126" s="53" t="str">
        <v>D. Gibson</v>
      </c>
      <c r="AQ126" s="53">
        <v>44477</v>
      </c>
      <c r="AR126" s="53" t="str">
        <v>I. McEwen</v>
      </c>
      <c r="AS126" s="53">
        <v>44477</v>
      </c>
      <c r="AT126" s="53" t="str">
        <v>-</v>
      </c>
    </row>
    <row r="127" spans="1:46" s="8" customFormat="1" ht="34" x14ac:dyDescent="0.2">
      <c r="A127" s="9">
        <v>1.2</v>
      </c>
      <c r="B127" s="38" t="str">
        <v>Installation</v>
      </c>
      <c r="C127" s="11" t="str">
        <v>DOM Handling Facility (DHF)</v>
      </c>
      <c r="D127" s="3" t="str">
        <v>Standard vessel shipping - can overwinter in McM.</v>
      </c>
      <c r="E127" s="4">
        <v>240</v>
      </c>
      <c r="F127" s="4">
        <v>96</v>
      </c>
      <c r="G127" s="4">
        <v>96</v>
      </c>
      <c r="H127" s="4">
        <v>1</v>
      </c>
      <c r="I127" s="539">
        <v>1280</v>
      </c>
      <c r="J127" s="4">
        <v>1280</v>
      </c>
      <c r="K127" s="4">
        <v>12000</v>
      </c>
      <c r="L127" s="4">
        <v>12000</v>
      </c>
      <c r="M127" s="4" t="str">
        <v>estimated</v>
      </c>
      <c r="N127" s="4" t="str">
        <v>-</v>
      </c>
      <c r="O127" s="756" t="str">
        <v xml:space="preserve"> U. Wisc. Madison</v>
      </c>
      <c r="P127" s="758">
        <v>50</v>
      </c>
      <c r="Q127" s="878">
        <v>44799</v>
      </c>
      <c r="R127" s="757">
        <v>44849</v>
      </c>
      <c r="S127" s="757" t="str">
        <v>UWM - PTH</v>
      </c>
      <c r="T127" s="757" t="str">
        <v>Truck</v>
      </c>
      <c r="U127" s="742" t="str">
        <v>PTH - MCM</v>
      </c>
      <c r="V127" s="742" t="str">
        <v>FY23 inter</v>
      </c>
      <c r="W127" s="742" t="str">
        <v>FY23 Vessel</v>
      </c>
      <c r="X127" s="742" t="str">
        <v>USAP Vessel</v>
      </c>
      <c r="Y127" s="774" t="str">
        <v>-</v>
      </c>
      <c r="Z127" s="774" t="str">
        <v>-</v>
      </c>
      <c r="AA127" s="774">
        <v>1</v>
      </c>
      <c r="AB127" s="774" t="str">
        <v>-</v>
      </c>
      <c r="AC127" s="774" t="str">
        <v>-</v>
      </c>
      <c r="AD127" s="702">
        <v>44963</v>
      </c>
      <c r="AE127" s="363" t="str">
        <v>FY24 intra</v>
      </c>
      <c r="AF127" s="363" t="str">
        <v>FY24 SPOT 1</v>
      </c>
      <c r="AG127" s="316">
        <v>0.5</v>
      </c>
      <c r="AH127" s="316" t="str">
        <v>-</v>
      </c>
      <c r="AI127" s="316" t="str">
        <v>-</v>
      </c>
      <c r="AJ127" s="316" t="str">
        <v>-</v>
      </c>
      <c r="AK127" s="53">
        <v>45261</v>
      </c>
      <c r="AL127" s="53">
        <v>45629</v>
      </c>
      <c r="AM127" s="316">
        <v>368</v>
      </c>
      <c r="AN127" s="316">
        <v>780</v>
      </c>
      <c r="AO127" s="316" t="str">
        <v>Yes</v>
      </c>
      <c r="AP127" s="53" t="str">
        <v>D. Gibson</v>
      </c>
      <c r="AQ127" s="53">
        <v>44477</v>
      </c>
      <c r="AR127" s="53" t="str">
        <v>I. McEwen</v>
      </c>
      <c r="AS127" s="53">
        <v>44662</v>
      </c>
      <c r="AT127" s="53" t="str">
        <v>Sensor Handling Facility construction scheduled to begin mid-December FY24</v>
      </c>
    </row>
    <row r="128" spans="1:46" s="8" customFormat="1" ht="51" x14ac:dyDescent="0.2">
      <c r="A128" s="9">
        <v>1.4</v>
      </c>
      <c r="B128" s="38" t="str">
        <v>Installation</v>
      </c>
      <c r="C128" s="11" t="str">
        <v>Surface Junction Boxes</v>
      </c>
      <c r="D128" s="3" t="str">
        <v xml:space="preserve">Surface Junction Boxes  can overwinter in McM if shipped earlier. 7 junction boxes </v>
      </c>
      <c r="E128" s="4">
        <v>66</v>
      </c>
      <c r="F128" s="4">
        <v>30</v>
      </c>
      <c r="G128" s="4">
        <v>14</v>
      </c>
      <c r="H128" s="4">
        <v>7</v>
      </c>
      <c r="I128" s="539">
        <v>17</v>
      </c>
      <c r="J128" s="4">
        <v>119</v>
      </c>
      <c r="K128" s="4">
        <v>200</v>
      </c>
      <c r="L128" s="4">
        <v>1400</v>
      </c>
      <c r="M128" s="4" t="str">
        <v>preliminary</v>
      </c>
      <c r="N128" s="4" t="str">
        <v>-</v>
      </c>
      <c r="O128" s="756" t="str">
        <v>MSU</v>
      </c>
      <c r="P128" s="758">
        <v>2</v>
      </c>
      <c r="Q128" s="878">
        <v>44847</v>
      </c>
      <c r="R128" s="757">
        <v>44849</v>
      </c>
      <c r="S128" s="757" t="str">
        <v>MSU - PTH</v>
      </c>
      <c r="T128" s="757" t="str">
        <v>Truck</v>
      </c>
      <c r="U128" s="742" t="str">
        <v>PTH - MCM</v>
      </c>
      <c r="V128" s="742" t="str">
        <v>FY23 inter</v>
      </c>
      <c r="W128" s="742" t="str">
        <v>FY23 Vessel</v>
      </c>
      <c r="X128" s="742" t="str">
        <v>USAP Vessel</v>
      </c>
      <c r="Y128" s="774" t="str">
        <v>-</v>
      </c>
      <c r="Z128" s="774" t="str">
        <v>-</v>
      </c>
      <c r="AA128" s="774">
        <v>1</v>
      </c>
      <c r="AB128" s="774" t="str">
        <v>-</v>
      </c>
      <c r="AC128" s="774" t="str">
        <v>-</v>
      </c>
      <c r="AD128" s="702">
        <v>44963</v>
      </c>
      <c r="AE128" s="363" t="str">
        <v>FY24 intra</v>
      </c>
      <c r="AF128" s="363" t="str">
        <v>FY24 SPOT 1</v>
      </c>
      <c r="AG128" s="316">
        <v>0.5</v>
      </c>
      <c r="AH128" s="316" t="str">
        <v>-</v>
      </c>
      <c r="AI128" s="316" t="str">
        <v>-</v>
      </c>
      <c r="AJ128" s="316" t="str">
        <v>-</v>
      </c>
      <c r="AK128" s="53">
        <v>45261</v>
      </c>
      <c r="AL128" s="53">
        <v>45641</v>
      </c>
      <c r="AM128" s="316">
        <v>380</v>
      </c>
      <c r="AN128" s="316">
        <v>792</v>
      </c>
      <c r="AO128" s="316" t="str">
        <v>Yes</v>
      </c>
      <c r="AP128" s="53" t="str">
        <v>T. DeYoung</v>
      </c>
      <c r="AQ128" s="53">
        <v>44482</v>
      </c>
      <c r="AR128" s="53" t="str">
        <v>D. Tosi</v>
      </c>
      <c r="AS128" s="53">
        <v>44662</v>
      </c>
      <c r="AT128" s="53" t="str">
        <v>Each is 66" x 30" x 14", each is 112 lbs. Assume Folding crate. Simple passive objects, work plan can probably be shifted to increase float.</v>
      </c>
    </row>
    <row r="129" spans="1:46" s="8" customFormat="1" ht="17" x14ac:dyDescent="0.2">
      <c r="A129" s="9">
        <v>1.2</v>
      </c>
      <c r="B129" s="38" t="str">
        <v>Fuel</v>
      </c>
      <c r="C129" s="11" t="str">
        <v>Field Season 1 Fuel</v>
      </c>
      <c r="D129" s="3" t="str">
        <v>Fuel to support FY23 field season - Base fuel</v>
      </c>
      <c r="E129" s="4">
        <v>0</v>
      </c>
      <c r="F129" s="4">
        <v>0</v>
      </c>
      <c r="G129" s="4">
        <v>0</v>
      </c>
      <c r="H129" s="4">
        <v>3191</v>
      </c>
      <c r="I129" s="539">
        <v>0</v>
      </c>
      <c r="J129" s="4">
        <v>426.58</v>
      </c>
      <c r="K129" s="4">
        <v>6.8</v>
      </c>
      <c r="L129" s="4">
        <v>21698.799999999999</v>
      </c>
      <c r="M129" s="4" t="str">
        <v>preliminary</v>
      </c>
      <c r="N129" s="4" t="str">
        <v>-</v>
      </c>
      <c r="O129" s="756" t="str">
        <v>-</v>
      </c>
      <c r="P129" s="758" t="str">
        <v>-</v>
      </c>
      <c r="Q129" s="878" t="str">
        <v>-</v>
      </c>
      <c r="R129" s="757" t="str">
        <v>-</v>
      </c>
      <c r="S129" s="757" t="str">
        <v>-</v>
      </c>
      <c r="T129" s="757" t="str">
        <v>-</v>
      </c>
      <c r="U129" s="742" t="str">
        <v>-</v>
      </c>
      <c r="V129" s="742" t="str">
        <v>FY24 inter</v>
      </c>
      <c r="W129" s="742" t="str">
        <v>-</v>
      </c>
      <c r="X129" s="742" t="str">
        <v>-</v>
      </c>
      <c r="Y129" s="774" t="str">
        <v>-</v>
      </c>
      <c r="Z129" s="774" t="str">
        <v>-</v>
      </c>
      <c r="AA129" s="774" t="str">
        <v>-</v>
      </c>
      <c r="AB129" s="774" t="str">
        <v>-</v>
      </c>
      <c r="AC129" s="774">
        <v>0</v>
      </c>
      <c r="AD129" s="702">
        <v>45231</v>
      </c>
      <c r="AE129" s="363" t="str">
        <v>FY24 intra</v>
      </c>
      <c r="AF129" s="363" t="str">
        <v>FY24 LC-Tanker</v>
      </c>
      <c r="AG129" s="316" t="str">
        <v>-</v>
      </c>
      <c r="AH129" s="316" t="str">
        <v>-</v>
      </c>
      <c r="AI129" s="316" t="str">
        <v>-</v>
      </c>
      <c r="AJ129" s="316">
        <v>0</v>
      </c>
      <c r="AK129" s="53">
        <v>45261</v>
      </c>
      <c r="AL129" s="53">
        <v>45261</v>
      </c>
      <c r="AM129" s="316">
        <v>0</v>
      </c>
      <c r="AN129" s="316" t="str">
        <v>-</v>
      </c>
      <c r="AO129" s="316" t="str">
        <v>Yes</v>
      </c>
      <c r="AP129" s="53" t="str">
        <v>T. Benson</v>
      </c>
      <c r="AQ129" s="53">
        <v>44483</v>
      </c>
      <c r="AR129" s="53" t="str">
        <v>I. McEwen</v>
      </c>
      <c r="AS129" s="53">
        <v>44483</v>
      </c>
      <c r="AT129" s="53" t="str">
        <v>-</v>
      </c>
    </row>
    <row r="130" spans="1:46" s="8" customFormat="1" ht="17" x14ac:dyDescent="0.2">
      <c r="A130" s="275">
        <v>1.2</v>
      </c>
      <c r="B130" s="276" t="str">
        <v>Fuel</v>
      </c>
      <c r="C130" s="277" t="str">
        <v>Field Season 1 Fuel Contingency</v>
      </c>
      <c r="D130" s="278" t="str">
        <v>Fuel to support FY23 field season - Contingency</v>
      </c>
      <c r="E130" s="4">
        <v>0</v>
      </c>
      <c r="F130" s="4">
        <v>0</v>
      </c>
      <c r="G130" s="4">
        <v>0</v>
      </c>
      <c r="H130" s="4">
        <v>452</v>
      </c>
      <c r="I130" s="539">
        <v>0</v>
      </c>
      <c r="J130" s="4">
        <v>60.43</v>
      </c>
      <c r="K130" s="4">
        <v>6.8</v>
      </c>
      <c r="L130" s="4">
        <v>3073.6</v>
      </c>
      <c r="M130" s="4" t="str">
        <v>preliminary</v>
      </c>
      <c r="N130" s="4" t="str">
        <v>-</v>
      </c>
      <c r="O130" s="756" t="str">
        <v>-</v>
      </c>
      <c r="P130" s="758" t="str">
        <v>-</v>
      </c>
      <c r="Q130" s="878" t="str">
        <v>-</v>
      </c>
      <c r="R130" s="757" t="str">
        <v>-</v>
      </c>
      <c r="S130" s="757" t="str">
        <v>-</v>
      </c>
      <c r="T130" s="757" t="str">
        <v>-</v>
      </c>
      <c r="U130" s="742" t="str">
        <v>-</v>
      </c>
      <c r="V130" s="742" t="str">
        <v>FY24 inter</v>
      </c>
      <c r="W130" s="742" t="str">
        <v>-</v>
      </c>
      <c r="X130" s="742" t="str">
        <v>-</v>
      </c>
      <c r="Y130" s="774" t="str">
        <v>-</v>
      </c>
      <c r="Z130" s="774" t="str">
        <v>-</v>
      </c>
      <c r="AA130" s="774" t="str">
        <v>-</v>
      </c>
      <c r="AB130" s="774" t="str">
        <v>-</v>
      </c>
      <c r="AC130" s="774">
        <v>0</v>
      </c>
      <c r="AD130" s="702">
        <v>45231</v>
      </c>
      <c r="AE130" s="363" t="str">
        <v>FY24 intra</v>
      </c>
      <c r="AF130" s="363" t="str">
        <v>FY24 LC-Tanker</v>
      </c>
      <c r="AG130" s="316" t="str">
        <v>-</v>
      </c>
      <c r="AH130" s="316" t="str">
        <v>-</v>
      </c>
      <c r="AI130" s="316" t="str">
        <v>-</v>
      </c>
      <c r="AJ130" s="316">
        <v>0</v>
      </c>
      <c r="AK130" s="53">
        <v>45261</v>
      </c>
      <c r="AL130" s="53">
        <v>45261</v>
      </c>
      <c r="AM130" s="316">
        <v>0</v>
      </c>
      <c r="AN130" s="316" t="str">
        <v>-</v>
      </c>
      <c r="AO130" s="316" t="str">
        <v>Yes</v>
      </c>
      <c r="AP130" s="53" t="str">
        <v>T. Benson</v>
      </c>
      <c r="AQ130" s="53">
        <v>44483</v>
      </c>
      <c r="AR130" s="53" t="str">
        <v>I. McEwen</v>
      </c>
      <c r="AS130" s="53">
        <v>44483</v>
      </c>
      <c r="AT130" s="53" t="str">
        <v>-</v>
      </c>
    </row>
    <row r="131" spans="1:46" s="8" customFormat="1" x14ac:dyDescent="0.2">
      <c r="A131" s="9"/>
      <c r="B131" s="38"/>
      <c r="C131" s="11"/>
      <c r="D131" s="3"/>
      <c r="E131" s="4"/>
      <c r="F131" s="4"/>
      <c r="G131" s="4"/>
      <c r="H131" s="4"/>
      <c r="I131" s="539"/>
      <c r="J131" s="4"/>
      <c r="K131" s="4"/>
      <c r="L131" s="4"/>
      <c r="M131" s="4"/>
      <c r="N131" s="4"/>
      <c r="O131" s="756"/>
      <c r="P131" s="758"/>
      <c r="Q131" s="237"/>
      <c r="R131" s="757"/>
      <c r="S131" s="757"/>
      <c r="T131" s="757"/>
      <c r="U131" s="742"/>
      <c r="V131" s="742"/>
      <c r="W131" s="742"/>
      <c r="X131" s="742"/>
      <c r="Y131" s="774"/>
      <c r="Z131" s="774"/>
      <c r="AA131" s="774"/>
      <c r="AB131" s="774"/>
      <c r="AC131" s="774"/>
      <c r="AD131" s="702"/>
      <c r="AE131" s="363"/>
      <c r="AF131" s="363"/>
      <c r="AG131" s="316"/>
      <c r="AH131" s="316"/>
      <c r="AI131" s="316"/>
      <c r="AJ131" s="316"/>
      <c r="AK131" s="53"/>
      <c r="AL131" s="53"/>
      <c r="AM131" s="316"/>
      <c r="AN131" s="316"/>
      <c r="AO131" s="316"/>
      <c r="AP131" s="53"/>
      <c r="AQ131" s="53"/>
      <c r="AR131" s="53"/>
      <c r="AS131" s="53"/>
      <c r="AT131" s="53"/>
    </row>
    <row r="132" spans="1:46" s="8" customFormat="1" x14ac:dyDescent="0.2">
      <c r="A132" s="9"/>
      <c r="B132" s="38"/>
      <c r="C132" s="11"/>
      <c r="D132" s="3"/>
      <c r="E132" s="4"/>
      <c r="F132" s="4"/>
      <c r="G132" s="4"/>
      <c r="H132" s="4"/>
      <c r="I132" s="539"/>
      <c r="J132" s="4"/>
      <c r="K132" s="4"/>
      <c r="L132" s="4"/>
      <c r="M132" s="4"/>
      <c r="N132" s="4"/>
      <c r="O132" s="756"/>
      <c r="P132" s="758"/>
      <c r="Q132" s="237"/>
      <c r="R132" s="757"/>
      <c r="S132" s="757"/>
      <c r="T132" s="757"/>
      <c r="U132" s="742"/>
      <c r="V132" s="742"/>
      <c r="W132" s="742"/>
      <c r="X132" s="742"/>
      <c r="Y132" s="774"/>
      <c r="Z132" s="774"/>
      <c r="AA132" s="774"/>
      <c r="AB132" s="774"/>
      <c r="AC132" s="774"/>
      <c r="AD132" s="702"/>
      <c r="AE132" s="363"/>
      <c r="AF132" s="363"/>
      <c r="AG132" s="316"/>
      <c r="AH132" s="316"/>
      <c r="AI132" s="316"/>
      <c r="AJ132" s="316"/>
      <c r="AK132" s="53"/>
      <c r="AL132" s="53"/>
      <c r="AM132" s="316"/>
      <c r="AN132" s="316"/>
      <c r="AO132" s="316"/>
      <c r="AP132" s="53"/>
      <c r="AQ132" s="53"/>
      <c r="AR132" s="53"/>
      <c r="AS132" s="53"/>
      <c r="AT132" s="53"/>
    </row>
    <row r="133" spans="1:46" s="8" customFormat="1" x14ac:dyDescent="0.2">
      <c r="A133" s="9"/>
      <c r="B133" s="38"/>
      <c r="C133" s="11"/>
      <c r="D133" s="3"/>
      <c r="E133" s="4"/>
      <c r="F133" s="4"/>
      <c r="G133" s="4"/>
      <c r="H133" s="4"/>
      <c r="I133" s="539"/>
      <c r="J133" s="4"/>
      <c r="K133" s="4"/>
      <c r="L133" s="4"/>
      <c r="M133" s="4"/>
      <c r="N133" s="4"/>
      <c r="O133" s="756"/>
      <c r="P133" s="758"/>
      <c r="Q133" s="237"/>
      <c r="R133" s="757"/>
      <c r="S133" s="757"/>
      <c r="T133" s="757"/>
      <c r="U133" s="742"/>
      <c r="V133" s="742"/>
      <c r="W133" s="742"/>
      <c r="X133" s="742"/>
      <c r="Y133" s="774"/>
      <c r="Z133" s="774"/>
      <c r="AA133" s="774"/>
      <c r="AB133" s="774"/>
      <c r="AC133" s="774"/>
      <c r="AD133" s="702"/>
      <c r="AE133" s="363"/>
      <c r="AF133" s="363"/>
      <c r="AG133" s="316"/>
      <c r="AH133" s="316"/>
      <c r="AI133" s="316"/>
      <c r="AJ133" s="316"/>
      <c r="AK133" s="53"/>
      <c r="AL133" s="53"/>
      <c r="AM133" s="316"/>
      <c r="AN133" s="316"/>
      <c r="AO133" s="316"/>
      <c r="AP133" s="53"/>
      <c r="AQ133" s="53"/>
      <c r="AR133" s="53"/>
      <c r="AS133" s="53"/>
      <c r="AT133" s="53"/>
    </row>
    <row r="134" spans="1:46" s="8" customFormat="1" ht="17" thickBot="1" x14ac:dyDescent="0.25">
      <c r="A134" s="275"/>
      <c r="B134" s="276"/>
      <c r="C134" s="277"/>
      <c r="D134" s="278"/>
      <c r="E134" s="4"/>
      <c r="F134" s="4"/>
      <c r="G134" s="4"/>
      <c r="H134" s="4"/>
      <c r="I134" s="539"/>
      <c r="J134" s="4"/>
      <c r="K134" s="4"/>
      <c r="L134" s="4"/>
      <c r="M134" s="4"/>
      <c r="N134" s="4"/>
      <c r="O134" s="756"/>
      <c r="P134" s="758"/>
      <c r="Q134" s="237"/>
      <c r="R134" s="757"/>
      <c r="S134" s="757"/>
      <c r="T134" s="757"/>
      <c r="U134" s="742"/>
      <c r="V134" s="742"/>
      <c r="W134" s="742"/>
      <c r="X134" s="742"/>
      <c r="Y134" s="774"/>
      <c r="Z134" s="774"/>
      <c r="AA134" s="774"/>
      <c r="AB134" s="774"/>
      <c r="AC134" s="774"/>
      <c r="AD134" s="702"/>
      <c r="AE134" s="363"/>
      <c r="AF134" s="363"/>
      <c r="AG134" s="316"/>
      <c r="AH134" s="316"/>
      <c r="AI134" s="316"/>
      <c r="AJ134" s="316"/>
      <c r="AK134" s="53"/>
      <c r="AL134" s="53"/>
      <c r="AM134" s="316"/>
      <c r="AN134" s="316"/>
      <c r="AO134" s="316"/>
      <c r="AP134" s="53"/>
      <c r="AQ134" s="53"/>
      <c r="AR134" s="53"/>
      <c r="AS134" s="53"/>
      <c r="AT134" s="53"/>
    </row>
    <row r="135" spans="1:46" ht="17" thickBot="1" x14ac:dyDescent="0.25">
      <c r="A135" s="318"/>
      <c r="B135" s="318"/>
      <c r="C135" s="406"/>
      <c r="D135" s="406"/>
      <c r="E135" s="796"/>
      <c r="F135" s="796"/>
      <c r="G135" s="796"/>
      <c r="H135" s="796"/>
      <c r="I135" s="800"/>
      <c r="J135" s="319">
        <f>SUM(J119:J134)</f>
        <v>5182.01</v>
      </c>
      <c r="K135" s="796"/>
      <c r="L135" s="319">
        <f>SUM(L119:L134)</f>
        <v>92052.400000000009</v>
      </c>
      <c r="M135" s="796"/>
      <c r="N135" s="796"/>
      <c r="O135" s="796"/>
      <c r="P135" s="800"/>
      <c r="Q135" s="798"/>
      <c r="R135" s="798"/>
      <c r="S135" s="798"/>
      <c r="T135" s="796"/>
      <c r="U135" s="796"/>
      <c r="V135" s="796"/>
      <c r="W135" s="796"/>
      <c r="X135" s="796"/>
      <c r="Y135" s="786"/>
      <c r="Z135" s="786"/>
      <c r="AA135" s="786"/>
      <c r="AB135" s="786"/>
      <c r="AC135" s="786"/>
      <c r="AD135" s="798"/>
      <c r="AE135" s="786"/>
      <c r="AF135" s="319">
        <f>SUM(AG135:AI135)</f>
        <v>2</v>
      </c>
      <c r="AG135" s="319">
        <f>SUM(AG119:AG134)</f>
        <v>2</v>
      </c>
      <c r="AH135" s="319">
        <f t="shared" ref="AH135:AJ135" si="2">SUM(AH119:AH134)</f>
        <v>0</v>
      </c>
      <c r="AI135" s="319">
        <f t="shared" si="2"/>
        <v>0</v>
      </c>
      <c r="AJ135" s="803">
        <f t="shared" si="2"/>
        <v>2.15</v>
      </c>
      <c r="AK135" s="798"/>
      <c r="AL135" s="786"/>
      <c r="AM135" s="798"/>
      <c r="AN135" s="786"/>
      <c r="AO135" s="786"/>
      <c r="AP135" s="798"/>
      <c r="AQ135" s="786"/>
      <c r="AR135" s="799"/>
      <c r="AS135" s="796"/>
      <c r="AT135" s="796"/>
    </row>
    <row r="136" spans="1:46" x14ac:dyDescent="0.2">
      <c r="A136" s="796"/>
      <c r="B136" s="796"/>
      <c r="C136" s="406"/>
      <c r="D136" s="406"/>
      <c r="E136" s="796"/>
      <c r="F136" s="796"/>
      <c r="G136" s="796"/>
      <c r="H136" s="796"/>
      <c r="I136" s="800"/>
      <c r="J136" s="54" t="s">
        <v>478</v>
      </c>
      <c r="K136" s="8"/>
      <c r="L136" s="8" t="s">
        <v>479</v>
      </c>
      <c r="M136" s="796"/>
      <c r="N136" s="796"/>
      <c r="O136" s="796"/>
      <c r="P136" s="800"/>
      <c r="Q136" s="798"/>
      <c r="R136" s="798"/>
      <c r="S136" s="798"/>
      <c r="T136" s="796"/>
      <c r="U136" s="796"/>
      <c r="V136" s="796"/>
      <c r="W136" s="796"/>
      <c r="X136" s="796"/>
      <c r="Y136" s="786"/>
      <c r="Z136" s="786"/>
      <c r="AA136" s="786"/>
      <c r="AB136" s="786"/>
      <c r="AC136" s="786"/>
      <c r="AD136" s="798"/>
      <c r="AE136" s="786"/>
      <c r="AF136" s="54" t="s">
        <v>480</v>
      </c>
      <c r="AG136" s="54" t="s">
        <v>481</v>
      </c>
      <c r="AH136" s="8" t="s">
        <v>482</v>
      </c>
      <c r="AI136" s="8" t="s">
        <v>483</v>
      </c>
      <c r="AJ136" s="786" t="s">
        <v>484</v>
      </c>
      <c r="AK136" s="54"/>
      <c r="AL136" s="54"/>
      <c r="AM136" s="8"/>
      <c r="AN136" s="8"/>
      <c r="AO136" s="786"/>
      <c r="AP136" s="798"/>
      <c r="AQ136" s="786"/>
      <c r="AR136" s="799"/>
      <c r="AS136" s="796"/>
      <c r="AT136" s="796"/>
    </row>
    <row r="137" spans="1:46" x14ac:dyDescent="0.2">
      <c r="A137" s="796"/>
      <c r="B137" s="796"/>
      <c r="C137" s="802"/>
      <c r="D137" s="802"/>
      <c r="E137" s="796"/>
      <c r="F137" s="796"/>
      <c r="G137" s="796"/>
      <c r="H137" s="796"/>
      <c r="I137" s="800"/>
      <c r="J137" s="796"/>
      <c r="K137" s="796"/>
      <c r="L137" s="801"/>
      <c r="M137" s="796"/>
      <c r="N137" s="796"/>
      <c r="O137" s="796"/>
      <c r="P137" s="800"/>
      <c r="Q137" s="798"/>
      <c r="R137" s="798"/>
      <c r="S137" s="798"/>
      <c r="T137" s="796"/>
      <c r="U137" s="796"/>
      <c r="V137" s="796"/>
      <c r="W137" s="796"/>
      <c r="X137" s="796"/>
      <c r="Y137" s="786"/>
      <c r="Z137" s="786"/>
      <c r="AA137" s="786"/>
      <c r="AB137" s="786"/>
      <c r="AC137" s="786"/>
      <c r="AD137" s="798"/>
      <c r="AE137" s="786"/>
      <c r="AF137" s="786"/>
      <c r="AG137" s="786"/>
      <c r="AH137" s="786"/>
      <c r="AK137" s="798"/>
      <c r="AL137" s="798"/>
      <c r="AM137" s="786"/>
      <c r="AN137" s="786"/>
      <c r="AO137" s="786"/>
      <c r="AP137" s="798"/>
      <c r="AQ137" s="786"/>
      <c r="AR137" s="799"/>
      <c r="AS137" s="796"/>
      <c r="AT137" s="796"/>
    </row>
    <row r="138" spans="1:46" x14ac:dyDescent="0.2">
      <c r="A138" s="796"/>
      <c r="B138" s="796"/>
      <c r="C138" s="406"/>
      <c r="D138" s="406"/>
      <c r="E138" s="796"/>
      <c r="F138" s="796"/>
      <c r="G138" s="796"/>
      <c r="H138" s="796"/>
      <c r="I138" s="800"/>
      <c r="J138" s="796"/>
      <c r="K138" s="796"/>
      <c r="L138" s="801"/>
      <c r="M138" s="796"/>
      <c r="N138" s="796"/>
      <c r="O138" s="796"/>
      <c r="P138" s="800"/>
      <c r="Q138" s="798"/>
      <c r="R138" s="798"/>
      <c r="S138" s="798"/>
      <c r="T138" s="796"/>
      <c r="U138" s="796"/>
      <c r="V138" s="796"/>
      <c r="W138" s="796"/>
      <c r="X138" s="796"/>
      <c r="Y138" s="786"/>
      <c r="Z138" s="786"/>
      <c r="AA138" s="786"/>
      <c r="AB138" s="786"/>
      <c r="AC138" s="786"/>
      <c r="AD138" s="798"/>
      <c r="AE138" s="786"/>
      <c r="AF138" s="786"/>
      <c r="AG138" s="786"/>
      <c r="AH138" s="786"/>
      <c r="AK138" s="798"/>
      <c r="AL138" s="798"/>
      <c r="AM138" s="786"/>
      <c r="AN138" s="786"/>
      <c r="AO138" s="786"/>
      <c r="AP138" s="798"/>
      <c r="AQ138" s="786"/>
      <c r="AR138" s="799"/>
      <c r="AS138" s="796"/>
      <c r="AT138" s="796"/>
    </row>
    <row r="139" spans="1:46" s="423" customFormat="1" ht="19" x14ac:dyDescent="0.25">
      <c r="I139" s="523"/>
      <c r="P139" s="523"/>
      <c r="Q139" s="424"/>
      <c r="S139" s="424"/>
      <c r="Y139" s="432"/>
      <c r="Z139" s="432"/>
      <c r="AA139" s="432"/>
      <c r="AB139" s="432"/>
      <c r="AC139" s="432"/>
      <c r="AD139" s="424"/>
      <c r="AE139" s="432"/>
      <c r="AF139" s="432"/>
      <c r="AG139" s="432"/>
      <c r="AH139" s="432"/>
      <c r="AI139" s="432"/>
      <c r="AJ139" s="546"/>
      <c r="AK139" s="424"/>
      <c r="AL139" s="424"/>
      <c r="AM139" s="432"/>
      <c r="AN139" s="432"/>
      <c r="AP139" s="424"/>
      <c r="AR139" s="535"/>
    </row>
    <row r="140" spans="1:46" s="60" customFormat="1" ht="19" x14ac:dyDescent="0.2">
      <c r="A140" s="272"/>
      <c r="B140" s="282"/>
      <c r="C140" s="279"/>
      <c r="D140" s="280"/>
      <c r="E140" s="281"/>
      <c r="F140" s="34"/>
      <c r="G140" s="34"/>
      <c r="H140" s="40"/>
      <c r="I140" s="578"/>
      <c r="J140" s="41"/>
      <c r="K140" s="41"/>
      <c r="L140" s="34"/>
      <c r="M140" s="34"/>
      <c r="N140" s="34"/>
      <c r="O140" s="42"/>
      <c r="P140" s="42"/>
      <c r="Q140" s="52"/>
      <c r="R140" s="52"/>
      <c r="S140" s="52"/>
      <c r="T140" s="52"/>
      <c r="U140" s="43"/>
      <c r="V140" s="44"/>
      <c r="W140" s="44"/>
      <c r="X140" s="44"/>
      <c r="Y140" s="369"/>
      <c r="Z140" s="369"/>
      <c r="AA140" s="369"/>
      <c r="AB140" s="369"/>
      <c r="AC140" s="369"/>
      <c r="AD140" s="431"/>
      <c r="AE140" s="260"/>
      <c r="AF140" s="369"/>
      <c r="AG140" s="369"/>
      <c r="AH140" s="547"/>
      <c r="AI140" s="372"/>
      <c r="AJ140" s="369"/>
      <c r="AK140" s="260"/>
      <c r="AL140" s="52"/>
      <c r="AM140" s="369"/>
      <c r="AN140" s="369"/>
      <c r="AO140" s="386"/>
      <c r="AP140" s="386"/>
      <c r="AQ140" s="533"/>
      <c r="AR140" s="533"/>
      <c r="AS140" s="533"/>
      <c r="AT140" s="533"/>
    </row>
    <row r="141" spans="1:46" s="416" customFormat="1" ht="20" x14ac:dyDescent="0.2">
      <c r="A141" s="393" t="s">
        <v>393</v>
      </c>
      <c r="B141" s="390"/>
      <c r="C141" s="390"/>
      <c r="D141" s="391"/>
      <c r="E141" s="391"/>
      <c r="F141" s="391"/>
      <c r="G141" s="391"/>
      <c r="H141" s="391"/>
      <c r="I141" s="527"/>
      <c r="J141" s="391"/>
      <c r="K141" s="391"/>
      <c r="L141" s="391"/>
      <c r="M141" s="391"/>
      <c r="N141" s="391"/>
      <c r="O141" s="391"/>
      <c r="P141" s="391"/>
      <c r="Q141" s="531"/>
      <c r="R141" s="531"/>
      <c r="S141" s="531"/>
      <c r="T141" s="531"/>
      <c r="U141" s="391"/>
      <c r="V141" s="391"/>
      <c r="W141" s="391"/>
      <c r="X141" s="391"/>
      <c r="Y141" s="519"/>
      <c r="Z141" s="519"/>
      <c r="AA141" s="519"/>
      <c r="AB141" s="519"/>
      <c r="AC141" s="519"/>
      <c r="AD141" s="421"/>
      <c r="AE141" s="421"/>
      <c r="AF141" s="421"/>
      <c r="AG141" s="420"/>
      <c r="AH141" s="420"/>
      <c r="AI141" s="538"/>
      <c r="AJ141" s="420"/>
      <c r="AK141" s="421"/>
      <c r="AL141" s="419"/>
      <c r="AM141" s="538"/>
      <c r="AN141" s="538"/>
      <c r="AO141" s="419"/>
      <c r="AP141" s="421"/>
      <c r="AQ141" s="421"/>
      <c r="AR141" s="421"/>
      <c r="AS141" s="421"/>
      <c r="AT141" s="421"/>
    </row>
    <row r="142" spans="1:46" s="8" customFormat="1" ht="34" x14ac:dyDescent="0.2">
      <c r="A142" s="9" cm="1">
        <f t="array" ref="A142:AT163">_xlfn._xlws.FILTER(cargo_table, inter_shipping_label=A141)</f>
        <v>1.2</v>
      </c>
      <c r="B142" s="38" t="str">
        <v>Drill</v>
      </c>
      <c r="C142" s="11" t="str">
        <v>Computing/controls components Shipment #3</v>
      </c>
      <c r="D142" s="3" t="str">
        <v>Computing and controls equipment (Sensor, motor drives and other sensitive electronics) - Do Not Freeze</v>
      </c>
      <c r="E142" s="4">
        <v>96</v>
      </c>
      <c r="F142" s="4">
        <v>48</v>
      </c>
      <c r="G142" s="4">
        <v>48</v>
      </c>
      <c r="H142" s="4">
        <v>1</v>
      </c>
      <c r="I142" s="539">
        <v>128</v>
      </c>
      <c r="J142" s="4">
        <v>128</v>
      </c>
      <c r="K142" s="4">
        <v>3000</v>
      </c>
      <c r="L142" s="4">
        <v>3000</v>
      </c>
      <c r="M142" s="4" t="str">
        <v>estimated</v>
      </c>
      <c r="N142" s="4" t="str">
        <v>DNF</v>
      </c>
      <c r="O142" s="756" t="str">
        <v xml:space="preserve"> U. Wisc. Madison</v>
      </c>
      <c r="P142" s="758">
        <v>31</v>
      </c>
      <c r="Q142" s="878">
        <v>45474</v>
      </c>
      <c r="R142" s="757">
        <v>45505</v>
      </c>
      <c r="S142" s="757" t="str">
        <v>UWM - PTH</v>
      </c>
      <c r="T142" s="757" t="str">
        <v>Truck</v>
      </c>
      <c r="U142" s="742" t="str">
        <v>PTH - CHC</v>
      </c>
      <c r="V142" s="742" t="str">
        <v>FY25 inter</v>
      </c>
      <c r="W142" s="742" t="str">
        <v>FY25 ComSur</v>
      </c>
      <c r="X142" s="742" t="str">
        <v>USAP Air</v>
      </c>
      <c r="Y142" s="774" t="str">
        <v>-</v>
      </c>
      <c r="Z142" s="774" t="str">
        <v>-</v>
      </c>
      <c r="AA142" s="774" t="str">
        <v>-</v>
      </c>
      <c r="AB142" s="774" t="str">
        <v>-</v>
      </c>
      <c r="AC142" s="774">
        <v>0.5</v>
      </c>
      <c r="AD142" s="702">
        <v>45597</v>
      </c>
      <c r="AE142" s="363" t="str">
        <v>FY25 intra</v>
      </c>
      <c r="AF142" s="363" t="str">
        <v>FY25 LC-130</v>
      </c>
      <c r="AG142" s="316" t="str">
        <v>-</v>
      </c>
      <c r="AH142" s="316" t="str">
        <v>-</v>
      </c>
      <c r="AI142" s="316" t="str">
        <v>-</v>
      </c>
      <c r="AJ142" s="316">
        <v>0.5</v>
      </c>
      <c r="AK142" s="53">
        <v>45611</v>
      </c>
      <c r="AL142" s="53">
        <v>45611</v>
      </c>
      <c r="AM142" s="316">
        <v>0</v>
      </c>
      <c r="AN142" s="316">
        <v>106</v>
      </c>
      <c r="AO142" s="316" t="str">
        <v>Yes</v>
      </c>
      <c r="AP142" s="53" t="str">
        <v>D. Gibson</v>
      </c>
      <c r="AQ142" s="53">
        <v>44477</v>
      </c>
      <c r="AR142" s="53" t="str">
        <v>I. McEwen</v>
      </c>
      <c r="AS142" s="53">
        <v>44477</v>
      </c>
      <c r="AT142" s="53" t="str">
        <v>-</v>
      </c>
    </row>
    <row r="143" spans="1:46" s="8" customFormat="1" ht="34" x14ac:dyDescent="0.2">
      <c r="A143" s="9">
        <v>1.2</v>
      </c>
      <c r="B143" s="38" t="str">
        <v>Drill</v>
      </c>
      <c r="C143" s="11" t="str">
        <v>Driller resupply/refit components -  8'  Container FS2</v>
      </c>
      <c r="D143" s="3" t="str">
        <v>8' Mini Milvan; Consumables/drill components</v>
      </c>
      <c r="E143" s="4">
        <v>96</v>
      </c>
      <c r="F143" s="4">
        <v>86</v>
      </c>
      <c r="G143" s="4">
        <v>96</v>
      </c>
      <c r="H143" s="4">
        <v>1</v>
      </c>
      <c r="I143" s="539">
        <v>459</v>
      </c>
      <c r="J143" s="4">
        <v>459</v>
      </c>
      <c r="K143" s="4">
        <v>6500</v>
      </c>
      <c r="L143" s="4">
        <v>6500</v>
      </c>
      <c r="M143" s="4" t="str">
        <v>estimated</v>
      </c>
      <c r="N143" s="4" t="str">
        <v>-</v>
      </c>
      <c r="O143" s="756" t="str">
        <v xml:space="preserve"> U. Wisc. Madison</v>
      </c>
      <c r="P143" s="758">
        <v>31</v>
      </c>
      <c r="Q143" s="878">
        <v>45474</v>
      </c>
      <c r="R143" s="757">
        <v>45505</v>
      </c>
      <c r="S143" s="757" t="str">
        <v>UWM - PTH</v>
      </c>
      <c r="T143" s="757" t="str">
        <v>Truck</v>
      </c>
      <c r="U143" s="742" t="str">
        <v>PTH - CHC</v>
      </c>
      <c r="V143" s="742" t="str">
        <v>FY25 inter</v>
      </c>
      <c r="W143" s="742" t="str">
        <v>FY25 ComSur</v>
      </c>
      <c r="X143" s="742" t="str">
        <v>USAP Air</v>
      </c>
      <c r="Y143" s="774" t="str">
        <v>-</v>
      </c>
      <c r="Z143" s="774" t="str">
        <v>-</v>
      </c>
      <c r="AA143" s="774" t="str">
        <v>-</v>
      </c>
      <c r="AB143" s="774" t="str">
        <v>-</v>
      </c>
      <c r="AC143" s="774">
        <v>1</v>
      </c>
      <c r="AD143" s="702">
        <v>45597</v>
      </c>
      <c r="AE143" s="363" t="str">
        <v>FY25 intra</v>
      </c>
      <c r="AF143" s="363" t="str">
        <v>FY25 LC-130</v>
      </c>
      <c r="AG143" s="316" t="str">
        <v>-</v>
      </c>
      <c r="AH143" s="316" t="str">
        <v>-</v>
      </c>
      <c r="AI143" s="316" t="str">
        <v>-</v>
      </c>
      <c r="AJ143" s="316">
        <v>1</v>
      </c>
      <c r="AK143" s="53">
        <v>45611</v>
      </c>
      <c r="AL143" s="53">
        <v>45611</v>
      </c>
      <c r="AM143" s="316">
        <v>0</v>
      </c>
      <c r="AN143" s="316">
        <v>106</v>
      </c>
      <c r="AO143" s="316" t="str">
        <v>Yes</v>
      </c>
      <c r="AP143" s="53" t="str">
        <v>D. Gibson</v>
      </c>
      <c r="AQ143" s="53">
        <v>44477</v>
      </c>
      <c r="AR143" s="53" t="str">
        <v>I. McEwen</v>
      </c>
      <c r="AS143" s="53">
        <v>44477</v>
      </c>
      <c r="AT143" s="53" t="str">
        <v>Items identifed in prior field season - 8' container moves with contents overland or by air</v>
      </c>
    </row>
    <row r="144" spans="1:46" s="8" customFormat="1" ht="34" x14ac:dyDescent="0.2">
      <c r="A144" s="9">
        <v>1.2</v>
      </c>
      <c r="B144" s="38" t="str">
        <v>Drill</v>
      </c>
      <c r="C144" s="11" t="str">
        <v>Drill refit components FS2</v>
      </c>
      <c r="D144" s="3" t="str">
        <v>Single crate. Consumables/drill refit components - Do Not Freeze</v>
      </c>
      <c r="E144" s="4">
        <v>96</v>
      </c>
      <c r="F144" s="4">
        <v>48</v>
      </c>
      <c r="G144" s="4">
        <v>48</v>
      </c>
      <c r="H144" s="4">
        <v>1</v>
      </c>
      <c r="I144" s="539">
        <v>128</v>
      </c>
      <c r="J144" s="4">
        <v>128</v>
      </c>
      <c r="K144" s="4">
        <v>3000</v>
      </c>
      <c r="L144" s="4">
        <v>3000</v>
      </c>
      <c r="M144" s="4" t="str">
        <v>estimated</v>
      </c>
      <c r="N144" s="4" t="str">
        <v>DNF</v>
      </c>
      <c r="O144" s="756" t="str">
        <v xml:space="preserve"> U. Wisc. Madison</v>
      </c>
      <c r="P144" s="758">
        <v>31</v>
      </c>
      <c r="Q144" s="878">
        <v>45474</v>
      </c>
      <c r="R144" s="757">
        <v>45505</v>
      </c>
      <c r="S144" s="757" t="str">
        <v>UWM - PTH</v>
      </c>
      <c r="T144" s="757" t="str">
        <v>Truck</v>
      </c>
      <c r="U144" s="742" t="str">
        <v>PTH - CHC</v>
      </c>
      <c r="V144" s="742" t="str">
        <v>FY25 inter</v>
      </c>
      <c r="W144" s="742" t="str">
        <v>FY25 Comsur</v>
      </c>
      <c r="X144" s="742" t="str">
        <v>USAP Air</v>
      </c>
      <c r="Y144" s="774" t="str">
        <v>-</v>
      </c>
      <c r="Z144" s="774" t="str">
        <v>-</v>
      </c>
      <c r="AA144" s="774" t="str">
        <v>-</v>
      </c>
      <c r="AB144" s="774" t="str">
        <v>-</v>
      </c>
      <c r="AC144" s="774">
        <v>0.5</v>
      </c>
      <c r="AD144" s="702">
        <v>45597</v>
      </c>
      <c r="AE144" s="363" t="str">
        <v>FY25 intra</v>
      </c>
      <c r="AF144" s="363" t="str">
        <v>FY25 LC-130</v>
      </c>
      <c r="AG144" s="316" t="str">
        <v>-</v>
      </c>
      <c r="AH144" s="316" t="str">
        <v>-</v>
      </c>
      <c r="AI144" s="316" t="str">
        <v>-</v>
      </c>
      <c r="AJ144" s="316">
        <v>0.5</v>
      </c>
      <c r="AK144" s="53">
        <v>45611</v>
      </c>
      <c r="AL144" s="53">
        <v>45611</v>
      </c>
      <c r="AM144" s="316">
        <v>0</v>
      </c>
      <c r="AN144" s="316">
        <v>106</v>
      </c>
      <c r="AO144" s="316" t="str">
        <v>Yes</v>
      </c>
      <c r="AP144" s="53" t="str">
        <v>D. Gibson</v>
      </c>
      <c r="AQ144" s="53">
        <v>44477</v>
      </c>
      <c r="AR144" s="53" t="str">
        <v>I. McEwen</v>
      </c>
      <c r="AS144" s="53">
        <v>44477</v>
      </c>
      <c r="AT144" s="53" t="str">
        <v>Items identifed in prior field season</v>
      </c>
    </row>
    <row r="145" spans="1:46" s="8" customFormat="1" ht="34" x14ac:dyDescent="0.2">
      <c r="A145" s="275">
        <v>1.4</v>
      </c>
      <c r="B145" s="276" t="str">
        <v>Installation</v>
      </c>
      <c r="C145" s="277" t="str">
        <v>ICL power and timing electronics</v>
      </c>
      <c r="D145" s="278" t="str">
        <v>1 crate containing rackmount electronics for power and timing systems - Do Not Freeze</v>
      </c>
      <c r="E145" s="4">
        <v>96</v>
      </c>
      <c r="F145" s="4">
        <v>48</v>
      </c>
      <c r="G145" s="4">
        <v>48</v>
      </c>
      <c r="H145" s="4">
        <v>1</v>
      </c>
      <c r="I145" s="539">
        <v>128</v>
      </c>
      <c r="J145" s="4">
        <v>128</v>
      </c>
      <c r="K145" s="4">
        <v>600</v>
      </c>
      <c r="L145" s="4">
        <v>600</v>
      </c>
      <c r="M145" s="4" t="str">
        <v>estimated</v>
      </c>
      <c r="N145" s="4" t="str">
        <v>DNF</v>
      </c>
      <c r="O145" s="756" t="str">
        <v xml:space="preserve"> U. Wisc. Madison</v>
      </c>
      <c r="P145" s="758">
        <v>462</v>
      </c>
      <c r="Q145" s="878">
        <v>45043</v>
      </c>
      <c r="R145" s="757">
        <v>45505</v>
      </c>
      <c r="S145" s="757" t="str">
        <v>UWM - PTH</v>
      </c>
      <c r="T145" s="757" t="str">
        <v>Truck</v>
      </c>
      <c r="U145" s="742" t="str">
        <v>PTH - CHC</v>
      </c>
      <c r="V145" s="742" t="str">
        <v>FY25 inter</v>
      </c>
      <c r="W145" s="742" t="str">
        <v>FY25 ComSur</v>
      </c>
      <c r="X145" s="742" t="str">
        <v>USAP Air</v>
      </c>
      <c r="Y145" s="774" t="str">
        <v>-</v>
      </c>
      <c r="Z145" s="774" t="str">
        <v>-</v>
      </c>
      <c r="AA145" s="774" t="str">
        <v>-</v>
      </c>
      <c r="AB145" s="774" t="str">
        <v>-</v>
      </c>
      <c r="AC145" s="774">
        <v>0.25</v>
      </c>
      <c r="AD145" s="702">
        <v>45597</v>
      </c>
      <c r="AE145" s="363" t="str">
        <v>FY25 intra</v>
      </c>
      <c r="AF145" s="363" t="str">
        <v>FY25 LC-130</v>
      </c>
      <c r="AG145" s="316" t="str">
        <v>-</v>
      </c>
      <c r="AH145" s="316" t="str">
        <v>-</v>
      </c>
      <c r="AI145" s="316" t="str">
        <v>-</v>
      </c>
      <c r="AJ145" s="316">
        <v>0.25</v>
      </c>
      <c r="AK145" s="53">
        <v>45626</v>
      </c>
      <c r="AL145" s="53">
        <v>45627</v>
      </c>
      <c r="AM145" s="316">
        <v>1</v>
      </c>
      <c r="AN145" s="316">
        <v>122</v>
      </c>
      <c r="AO145" s="316" t="str">
        <v>Yes</v>
      </c>
      <c r="AP145" s="53" t="str">
        <v>J. Kelley</v>
      </c>
      <c r="AQ145" s="53">
        <v>44481</v>
      </c>
      <c r="AR145" s="53" t="str">
        <v>D. Tosi</v>
      </c>
      <c r="AS145" s="53">
        <v>44662</v>
      </c>
      <c r="AT145" s="53" t="str">
        <v>-</v>
      </c>
    </row>
    <row r="146" spans="1:46" s="8" customFormat="1" ht="34" x14ac:dyDescent="0.2">
      <c r="A146" s="9">
        <v>1.4</v>
      </c>
      <c r="B146" s="38" t="str">
        <v>Installation</v>
      </c>
      <c r="C146" s="11" t="str">
        <v>ICL patch cables and patch panels</v>
      </c>
      <c r="D146" s="3" t="str">
        <v>Standard vessel shipping - can overwinter in McM if shipped earlier - Do Not  Deep Freeze</v>
      </c>
      <c r="E146" s="4">
        <v>96</v>
      </c>
      <c r="F146" s="4">
        <v>48</v>
      </c>
      <c r="G146" s="4">
        <v>48</v>
      </c>
      <c r="H146" s="4">
        <v>1</v>
      </c>
      <c r="I146" s="539">
        <v>128</v>
      </c>
      <c r="J146" s="4">
        <v>128</v>
      </c>
      <c r="K146" s="4">
        <v>1200</v>
      </c>
      <c r="L146" s="4">
        <v>1200</v>
      </c>
      <c r="M146" s="4" t="str">
        <v>estimated</v>
      </c>
      <c r="N146" s="4" t="str">
        <v>DNDF [TBD]</v>
      </c>
      <c r="O146" s="756" t="str">
        <v xml:space="preserve"> U. Wisc. Madison</v>
      </c>
      <c r="P146" s="758">
        <v>624</v>
      </c>
      <c r="Q146" s="878">
        <v>44881</v>
      </c>
      <c r="R146" s="757">
        <v>45505</v>
      </c>
      <c r="S146" s="757" t="str">
        <v>UWM - PTH</v>
      </c>
      <c r="T146" s="757" t="str">
        <v>Truck</v>
      </c>
      <c r="U146" s="742" t="str">
        <v>PTH - CHC</v>
      </c>
      <c r="V146" s="742" t="str">
        <v>FY25 inter</v>
      </c>
      <c r="W146" s="742" t="str">
        <v>FY25 ComSur</v>
      </c>
      <c r="X146" s="742" t="str">
        <v>USAP Air</v>
      </c>
      <c r="Y146" s="774" t="str">
        <v>-</v>
      </c>
      <c r="Z146" s="774" t="str">
        <v>-</v>
      </c>
      <c r="AA146" s="774" t="str">
        <v>-</v>
      </c>
      <c r="AB146" s="774" t="str">
        <v>-</v>
      </c>
      <c r="AC146" s="774">
        <v>0.25</v>
      </c>
      <c r="AD146" s="702">
        <v>45597</v>
      </c>
      <c r="AE146" s="363" t="str">
        <v>FY25 intra</v>
      </c>
      <c r="AF146" s="363" t="str">
        <v>FY25 LC-130</v>
      </c>
      <c r="AG146" s="316" t="str">
        <v>-</v>
      </c>
      <c r="AH146" s="316" t="str">
        <v>-</v>
      </c>
      <c r="AI146" s="316" t="str">
        <v>-</v>
      </c>
      <c r="AJ146" s="316">
        <v>0.25</v>
      </c>
      <c r="AK146" s="53">
        <v>45626</v>
      </c>
      <c r="AL146" s="53">
        <v>45627</v>
      </c>
      <c r="AM146" s="316">
        <v>1</v>
      </c>
      <c r="AN146" s="316">
        <v>122</v>
      </c>
      <c r="AO146" s="316" t="str">
        <v>Yes</v>
      </c>
      <c r="AP146" s="53" t="str">
        <v>J. Kelley</v>
      </c>
      <c r="AQ146" s="53">
        <v>44481</v>
      </c>
      <c r="AR146" s="53" t="str">
        <v>D. Tosi</v>
      </c>
      <c r="AS146" s="53">
        <v>44662</v>
      </c>
      <c r="AT146" s="53" t="str">
        <v xml:space="preserve">(*) storage in McMurdo pending low temperature test </v>
      </c>
    </row>
    <row r="147" spans="1:46" s="8" customFormat="1" ht="34" x14ac:dyDescent="0.2">
      <c r="A147" s="9">
        <v>1.2</v>
      </c>
      <c r="B147" s="38" t="str">
        <v>Installation</v>
      </c>
      <c r="C147" s="11" t="str">
        <v>Misc. Science Equipment - FS2 (FY25)</v>
      </c>
      <c r="D147" s="3" t="str">
        <v xml:space="preserve">Scientific and test equipment (SPAT, DCM, IME, Paros et al.) - Do Not Freeze </v>
      </c>
      <c r="E147" s="4">
        <v>48</v>
      </c>
      <c r="F147" s="4">
        <v>48</v>
      </c>
      <c r="G147" s="4">
        <v>48</v>
      </c>
      <c r="H147" s="4">
        <v>1</v>
      </c>
      <c r="I147" s="539">
        <v>64</v>
      </c>
      <c r="J147" s="4">
        <v>64</v>
      </c>
      <c r="K147" s="4">
        <v>1500</v>
      </c>
      <c r="L147" s="4">
        <v>1500</v>
      </c>
      <c r="M147" s="4" t="str">
        <v>estimated</v>
      </c>
      <c r="N147" s="4" t="str">
        <v>DNF</v>
      </c>
      <c r="O147" s="756" t="str">
        <v xml:space="preserve"> U. Wisc. Madison</v>
      </c>
      <c r="P147" s="758">
        <v>50</v>
      </c>
      <c r="Q147" s="878">
        <v>45455</v>
      </c>
      <c r="R147" s="757">
        <v>45505</v>
      </c>
      <c r="S147" s="757" t="str">
        <v>UWM - PTH</v>
      </c>
      <c r="T147" s="757" t="str">
        <v>Truck</v>
      </c>
      <c r="U147" s="742" t="str">
        <v>PTH - CHC</v>
      </c>
      <c r="V147" s="742" t="str">
        <v>FY25 inter</v>
      </c>
      <c r="W147" s="742" t="str">
        <v>FY25 ComSur</v>
      </c>
      <c r="X147" s="742" t="str">
        <v>USAP Air</v>
      </c>
      <c r="Y147" s="774" t="str">
        <v>-</v>
      </c>
      <c r="Z147" s="774" t="str">
        <v>-</v>
      </c>
      <c r="AA147" s="774" t="str">
        <v>-</v>
      </c>
      <c r="AB147" s="774" t="str">
        <v>-</v>
      </c>
      <c r="AC147" s="774">
        <v>0.25</v>
      </c>
      <c r="AD147" s="702">
        <v>45597</v>
      </c>
      <c r="AE147" s="363" t="str">
        <v>FY25 intra</v>
      </c>
      <c r="AF147" s="363" t="str">
        <v>FY25 LC-130</v>
      </c>
      <c r="AG147" s="316" t="str">
        <v>-</v>
      </c>
      <c r="AH147" s="316" t="str">
        <v>-</v>
      </c>
      <c r="AI147" s="316" t="str">
        <v>-</v>
      </c>
      <c r="AJ147" s="316">
        <v>0.25</v>
      </c>
      <c r="AK147" s="53">
        <v>45626</v>
      </c>
      <c r="AL147" s="53">
        <v>45627</v>
      </c>
      <c r="AM147" s="316">
        <v>1</v>
      </c>
      <c r="AN147" s="316">
        <v>122</v>
      </c>
      <c r="AO147" s="316" t="str">
        <v>Yes</v>
      </c>
      <c r="AP147" s="53" t="str">
        <v>T. Karg</v>
      </c>
      <c r="AQ147" s="53">
        <v>44477</v>
      </c>
      <c r="AR147" s="53" t="str">
        <v>D. Tosi</v>
      </c>
      <c r="AS147" s="53">
        <v>44477</v>
      </c>
      <c r="AT147" s="53" t="str">
        <v>-</v>
      </c>
    </row>
    <row r="148" spans="1:46" s="8" customFormat="1" ht="34" x14ac:dyDescent="0.2">
      <c r="A148" s="9">
        <v>1.5</v>
      </c>
      <c r="B148" s="38" t="str">
        <v>Installation</v>
      </c>
      <c r="C148" s="11" t="str">
        <v>Calibration/Special Devices 87-88</v>
      </c>
      <c r="D148" s="3" t="str">
        <v>3+1 PencilBeams from UW, 2+1 pDOM and 1+1 LOMs - Do Not Deep Freeze</v>
      </c>
      <c r="E148" s="4">
        <v>58</v>
      </c>
      <c r="F148" s="4">
        <v>38</v>
      </c>
      <c r="G148" s="4">
        <v>41</v>
      </c>
      <c r="H148" s="4">
        <v>1</v>
      </c>
      <c r="I148" s="539">
        <v>53</v>
      </c>
      <c r="J148" s="4">
        <v>53</v>
      </c>
      <c r="K148" s="4">
        <v>836</v>
      </c>
      <c r="L148" s="4">
        <v>836</v>
      </c>
      <c r="M148" s="4" t="str">
        <v>estimated</v>
      </c>
      <c r="N148" s="4" t="str">
        <v>DNDF [-40C]</v>
      </c>
      <c r="O148" s="756" t="str">
        <v xml:space="preserve"> U. Wisc. Madison</v>
      </c>
      <c r="P148" s="758">
        <v>2</v>
      </c>
      <c r="Q148" s="878">
        <v>45503</v>
      </c>
      <c r="R148" s="757">
        <v>45505</v>
      </c>
      <c r="S148" s="757" t="str">
        <v>UWM - PTH</v>
      </c>
      <c r="T148" s="757" t="str">
        <v>Truck</v>
      </c>
      <c r="U148" s="742" t="str">
        <v>PTH - CHC</v>
      </c>
      <c r="V148" s="742" t="str">
        <v>FY25 inter</v>
      </c>
      <c r="W148" s="742" t="str">
        <v>FY25 ComSur</v>
      </c>
      <c r="X148" s="742" t="str">
        <v>USAP Air</v>
      </c>
      <c r="Y148" s="774" t="str">
        <v>-</v>
      </c>
      <c r="Z148" s="774" t="str">
        <v>-</v>
      </c>
      <c r="AA148" s="774" t="str">
        <v>-</v>
      </c>
      <c r="AB148" s="774" t="str">
        <v>-</v>
      </c>
      <c r="AC148" s="774">
        <v>0.25</v>
      </c>
      <c r="AD148" s="702">
        <v>45597</v>
      </c>
      <c r="AE148" s="363" t="str">
        <v>FY25 intra</v>
      </c>
      <c r="AF148" s="363" t="str">
        <v>FY25 LC-130</v>
      </c>
      <c r="AG148" s="316" t="str">
        <v>-</v>
      </c>
      <c r="AH148" s="316" t="str">
        <v>-</v>
      </c>
      <c r="AI148" s="316" t="str">
        <v>-</v>
      </c>
      <c r="AJ148" s="316">
        <v>0.25</v>
      </c>
      <c r="AK148" s="53">
        <v>45641</v>
      </c>
      <c r="AL148" s="53">
        <v>45654</v>
      </c>
      <c r="AM148" s="316">
        <v>13</v>
      </c>
      <c r="AN148" s="316">
        <v>149</v>
      </c>
      <c r="AO148" s="316" t="str">
        <v>Yes</v>
      </c>
      <c r="AP148" s="53" t="str">
        <v>D. Williams</v>
      </c>
      <c r="AQ148" s="53">
        <v>44482</v>
      </c>
      <c r="AR148" s="53" t="str">
        <v>D. Tosi</v>
      </c>
      <c r="AS148" s="53">
        <v>44482</v>
      </c>
      <c r="AT148" s="53" t="str">
        <v>-</v>
      </c>
    </row>
    <row r="149" spans="1:46" s="8" customFormat="1" ht="68" x14ac:dyDescent="0.2">
      <c r="A149" s="275">
        <v>1.3</v>
      </c>
      <c r="B149" s="276" t="str">
        <v>Installation</v>
      </c>
      <c r="C149" s="277" t="str">
        <v>Special Devices 87-88</v>
      </c>
      <c r="D149" s="278" t="str">
        <v>Special devices for 2 strings from UW (4+1 Radio Pulsers (all strings) 1+1 Radio Receivers, 3+1 FOM)  - Do Not Deep Freeze</v>
      </c>
      <c r="E149" s="4">
        <v>63</v>
      </c>
      <c r="F149" s="4">
        <v>40</v>
      </c>
      <c r="G149" s="4">
        <v>42</v>
      </c>
      <c r="H149" s="4">
        <v>1</v>
      </c>
      <c r="I149" s="539">
        <v>62</v>
      </c>
      <c r="J149" s="4">
        <v>62</v>
      </c>
      <c r="K149" s="4">
        <v>677</v>
      </c>
      <c r="L149" s="4">
        <v>677</v>
      </c>
      <c r="M149" s="4" t="str">
        <v>preliminary</v>
      </c>
      <c r="N149" s="4" t="str">
        <v>DNDF [-40C]</v>
      </c>
      <c r="O149" s="756" t="str">
        <v>UWM/Kansas</v>
      </c>
      <c r="P149" s="758">
        <v>2</v>
      </c>
      <c r="Q149" s="878">
        <v>45503</v>
      </c>
      <c r="R149" s="757">
        <v>45505</v>
      </c>
      <c r="S149" s="757" t="str">
        <v>UWM - PTH</v>
      </c>
      <c r="T149" s="757" t="str">
        <v>Truck</v>
      </c>
      <c r="U149" s="742" t="str">
        <v>PTH - CHC</v>
      </c>
      <c r="V149" s="742" t="str">
        <v>FY25 inter</v>
      </c>
      <c r="W149" s="742" t="str">
        <v>FY25 ComSur</v>
      </c>
      <c r="X149" s="742" t="str">
        <v>USAP Air</v>
      </c>
      <c r="Y149" s="774" t="str">
        <v>-</v>
      </c>
      <c r="Z149" s="774" t="str">
        <v>-</v>
      </c>
      <c r="AA149" s="774" t="str">
        <v>-</v>
      </c>
      <c r="AB149" s="774" t="str">
        <v>-</v>
      </c>
      <c r="AC149" s="774">
        <v>0.25</v>
      </c>
      <c r="AD149" s="702">
        <v>45597</v>
      </c>
      <c r="AE149" s="363" t="str">
        <v>FY25 intra</v>
      </c>
      <c r="AF149" s="363" t="str">
        <v>FY25 LC-130</v>
      </c>
      <c r="AG149" s="316" t="str">
        <v>-</v>
      </c>
      <c r="AH149" s="316" t="str">
        <v>-</v>
      </c>
      <c r="AI149" s="316" t="str">
        <v>-</v>
      </c>
      <c r="AJ149" s="316">
        <v>0.25</v>
      </c>
      <c r="AK149" s="53">
        <v>45641</v>
      </c>
      <c r="AL149" s="53">
        <v>45654</v>
      </c>
      <c r="AM149" s="316">
        <v>13</v>
      </c>
      <c r="AN149" s="316">
        <v>149</v>
      </c>
      <c r="AO149" s="316" t="str">
        <v>Yes</v>
      </c>
      <c r="AP149" s="53" t="str">
        <v>S. Boeser</v>
      </c>
      <c r="AQ149" s="53">
        <v>44482</v>
      </c>
      <c r="AR149" s="53" t="str">
        <v>D. Tosi</v>
      </c>
      <c r="AS149" s="53">
        <v>44482</v>
      </c>
      <c r="AT149" s="53" t="str">
        <v>4+1 Radio Pulser, weight  50 kg. 1+1 Radio receiver, assume mDOM weight, 3+1 FOM (assume mDOM weight) + 2ftx2ftx4ft FOM box (50 lbs).  Special Devices from UW. FTS, seismometer missing from estimate.  250 lbs crate estimate</v>
      </c>
    </row>
    <row r="150" spans="1:46" s="8" customFormat="1" ht="102" x14ac:dyDescent="0.2">
      <c r="A150" s="9">
        <v>1.4</v>
      </c>
      <c r="B150" s="38" t="str">
        <v>Installation</v>
      </c>
      <c r="C150" s="11" t="str">
        <v>Breakout cables for strings 87-88</v>
      </c>
      <c r="D150" s="3" t="str">
        <v>Standard vessel shipping.  2 wooden crates containing spooled breakout cable assemblies - 96 cf / 1,000 lbs each - Cryo storage -  Do Not Deep Freeze</v>
      </c>
      <c r="E150" s="4">
        <v>72</v>
      </c>
      <c r="F150" s="4">
        <v>48</v>
      </c>
      <c r="G150" s="4">
        <v>48</v>
      </c>
      <c r="H150" s="4">
        <v>2</v>
      </c>
      <c r="I150" s="539">
        <v>96</v>
      </c>
      <c r="J150" s="4">
        <v>192</v>
      </c>
      <c r="K150" s="4">
        <v>1000</v>
      </c>
      <c r="L150" s="4">
        <v>2000</v>
      </c>
      <c r="M150" s="4" t="str">
        <v>estimated</v>
      </c>
      <c r="N150" s="4" t="str">
        <v>DNDF[-40C](*)</v>
      </c>
      <c r="O150" s="756" t="str">
        <v>MSU</v>
      </c>
      <c r="P150" s="758">
        <v>477</v>
      </c>
      <c r="Q150" s="878">
        <v>45103</v>
      </c>
      <c r="R150" s="757">
        <v>45580</v>
      </c>
      <c r="S150" s="757" t="str">
        <v>MSU - PTH</v>
      </c>
      <c r="T150" s="757" t="str">
        <v>Truck</v>
      </c>
      <c r="U150" s="742" t="str">
        <v>PTH - MCM</v>
      </c>
      <c r="V150" s="742" t="str">
        <v>FY25 inter</v>
      </c>
      <c r="W150" s="742" t="str">
        <v>FY25 Vessel</v>
      </c>
      <c r="X150" s="742" t="str">
        <v>USAP Vessel</v>
      </c>
      <c r="Y150" s="774" t="str">
        <v>-</v>
      </c>
      <c r="Z150" s="774">
        <v>0.25</v>
      </c>
      <c r="AA150" s="774" t="str">
        <v>-</v>
      </c>
      <c r="AB150" s="774" t="str">
        <v>-</v>
      </c>
      <c r="AC150" s="774" t="str">
        <v>-</v>
      </c>
      <c r="AD150" s="702">
        <v>45694</v>
      </c>
      <c r="AE150" s="363" t="str">
        <v>FY25 intra</v>
      </c>
      <c r="AF150" s="363" t="str">
        <v>FY25 LC-130</v>
      </c>
      <c r="AG150" s="316" t="str">
        <v>-</v>
      </c>
      <c r="AH150" s="316" t="str">
        <v>-</v>
      </c>
      <c r="AI150" s="316" t="str">
        <v>-</v>
      </c>
      <c r="AJ150" s="316">
        <v>0.5</v>
      </c>
      <c r="AK150" s="53">
        <v>45703</v>
      </c>
      <c r="AL150" s="53">
        <v>46001</v>
      </c>
      <c r="AM150" s="316">
        <v>298</v>
      </c>
      <c r="AN150" s="316">
        <v>421</v>
      </c>
      <c r="AO150" s="316" t="str">
        <v>Yes</v>
      </c>
      <c r="AP150" s="53" t="str">
        <v>T. DeYoung</v>
      </c>
      <c r="AQ150" s="53">
        <v>44459</v>
      </c>
      <c r="AR150" s="53" t="str">
        <v>D. Tosi</v>
      </c>
      <c r="AS150" s="53">
        <v>44662</v>
      </c>
      <c r="AT150" s="53" t="str">
        <v>Shipping date early due to storage limitations at MSU. Additional float at Port Hueneme assuming USAP vessel departure.  Preliminary estimate of weight and size.  Pre-staging string 87-88 equipment in cryo or ICL. - if storage at Pole not possible, could overwinter in McM (at an increased risk and pending low temperature test) (*)</v>
      </c>
    </row>
    <row r="151" spans="1:46" s="8" customFormat="1" ht="51" x14ac:dyDescent="0.2">
      <c r="A151" s="9">
        <v>1.4</v>
      </c>
      <c r="B151" s="38" t="str">
        <v>Installation</v>
      </c>
      <c r="C151" s="11" t="str">
        <v>Breakout cables for strings 89-93</v>
      </c>
      <c r="D151" s="3" t="str">
        <v>Stored in McMurdo FY24. 5 wooden crates containing spooled breakout cable assemblies - 96 cf/ 1,000 lbs each (preliminary) -  Do Not Deep Freeze</v>
      </c>
      <c r="E151" s="4">
        <v>72</v>
      </c>
      <c r="F151" s="4">
        <v>48</v>
      </c>
      <c r="G151" s="4">
        <v>48</v>
      </c>
      <c r="H151" s="4">
        <v>5</v>
      </c>
      <c r="I151" s="539">
        <v>96</v>
      </c>
      <c r="J151" s="4">
        <v>480</v>
      </c>
      <c r="K151" s="4">
        <v>1000</v>
      </c>
      <c r="L151" s="4">
        <v>5000</v>
      </c>
      <c r="M151" s="4" t="str">
        <v>estimated</v>
      </c>
      <c r="N151" s="4" t="str">
        <v>DNDF[-40C](*)</v>
      </c>
      <c r="O151" s="756" t="str">
        <v>MSU</v>
      </c>
      <c r="P151" s="758">
        <v>379</v>
      </c>
      <c r="Q151" s="878">
        <v>45201</v>
      </c>
      <c r="R151" s="757">
        <v>45580</v>
      </c>
      <c r="S151" s="757" t="str">
        <v>MSU - PTH</v>
      </c>
      <c r="T151" s="757" t="str">
        <v>Truck</v>
      </c>
      <c r="U151" s="742" t="str">
        <v>PTH - MCM</v>
      </c>
      <c r="V151" s="742" t="str">
        <v>FY25 inter</v>
      </c>
      <c r="W151" s="742" t="str">
        <v>FY25 Vessel</v>
      </c>
      <c r="X151" s="742" t="str">
        <v>USAP Vessel</v>
      </c>
      <c r="Y151" s="774" t="str">
        <v>-</v>
      </c>
      <c r="Z151" s="774" t="str">
        <v>-</v>
      </c>
      <c r="AA151" s="774">
        <v>2</v>
      </c>
      <c r="AB151" s="774" t="str">
        <v>-</v>
      </c>
      <c r="AC151" s="774" t="str">
        <v>-</v>
      </c>
      <c r="AD151" s="702">
        <v>45694</v>
      </c>
      <c r="AE151" s="363" t="str">
        <v>FY26 intra</v>
      </c>
      <c r="AF151" s="363" t="str">
        <v>FY26 LC-130</v>
      </c>
      <c r="AG151" s="316" t="str">
        <v>-</v>
      </c>
      <c r="AH151" s="316" t="str">
        <v>-</v>
      </c>
      <c r="AI151" s="316" t="str">
        <v>-</v>
      </c>
      <c r="AJ151" s="316">
        <v>1</v>
      </c>
      <c r="AK151" s="53">
        <v>45986</v>
      </c>
      <c r="AL151" s="53">
        <v>46001</v>
      </c>
      <c r="AM151" s="316">
        <v>15</v>
      </c>
      <c r="AN151" s="316">
        <v>421</v>
      </c>
      <c r="AO151" s="316" t="str">
        <v>Yes</v>
      </c>
      <c r="AP151" s="53" t="str">
        <v>T. DeYoung</v>
      </c>
      <c r="AQ151" s="53">
        <v>44459</v>
      </c>
      <c r="AR151" s="53" t="str">
        <v>D. Tosi</v>
      </c>
      <c r="AS151" s="53">
        <v>44662</v>
      </c>
      <c r="AT151" s="53" t="str">
        <v xml:space="preserve">Float in PTH due to storage limitation in MSU.
(*) storage in McMurdo pending low temperature test  </v>
      </c>
    </row>
    <row r="152" spans="1:46" s="8" customFormat="1" ht="34" x14ac:dyDescent="0.2">
      <c r="A152" s="9">
        <v>1.4</v>
      </c>
      <c r="B152" s="38" t="str">
        <v>Installation</v>
      </c>
      <c r="C152" s="11" t="str">
        <v>Main (downhole) load members 87-93 [placeholder, may not be required]</v>
      </c>
      <c r="D152" s="3" t="str">
        <v>May be possible to store in McMurdo until drill season - Do Not Deep Freeze</v>
      </c>
      <c r="E152" s="4">
        <v>47</v>
      </c>
      <c r="F152" s="4">
        <v>47</v>
      </c>
      <c r="G152" s="4">
        <v>39</v>
      </c>
      <c r="H152" s="4">
        <v>7</v>
      </c>
      <c r="I152" s="539">
        <v>50</v>
      </c>
      <c r="J152" s="4">
        <v>350</v>
      </c>
      <c r="K152" s="4">
        <v>766</v>
      </c>
      <c r="L152" s="4">
        <v>5362</v>
      </c>
      <c r="M152" s="4" t="str">
        <v>preliminary</v>
      </c>
      <c r="N152" s="4" t="str">
        <v>DNDF[-40C](*)</v>
      </c>
      <c r="O152" s="756" t="str">
        <v>MSU</v>
      </c>
      <c r="P152" s="758">
        <v>563</v>
      </c>
      <c r="Q152" s="878">
        <v>45017</v>
      </c>
      <c r="R152" s="757">
        <v>45580</v>
      </c>
      <c r="S152" s="757" t="str">
        <v>MSU - PTH</v>
      </c>
      <c r="T152" s="757" t="str">
        <v>Truck</v>
      </c>
      <c r="U152" s="742" t="str">
        <v>PTH - MCM</v>
      </c>
      <c r="V152" s="742" t="str">
        <v>FY25 inter</v>
      </c>
      <c r="W152" s="742" t="str">
        <v>FY25 Vessel</v>
      </c>
      <c r="X152" s="742" t="str">
        <v>USAP Vessel</v>
      </c>
      <c r="Y152" s="774" t="str">
        <v>-</v>
      </c>
      <c r="Z152" s="774" t="str">
        <v>-</v>
      </c>
      <c r="AA152" s="774">
        <v>1</v>
      </c>
      <c r="AB152" s="774" t="str">
        <v>-</v>
      </c>
      <c r="AC152" s="774" t="str">
        <v>-</v>
      </c>
      <c r="AD152" s="702">
        <v>45694</v>
      </c>
      <c r="AE152" s="363" t="str">
        <v>FY26 intra</v>
      </c>
      <c r="AF152" s="363" t="str">
        <v>FY26 SPOT 1</v>
      </c>
      <c r="AG152" s="316">
        <v>1</v>
      </c>
      <c r="AH152" s="316" t="str">
        <v>-</v>
      </c>
      <c r="AI152" s="316" t="str">
        <v>-</v>
      </c>
      <c r="AJ152" s="316" t="str">
        <v>-</v>
      </c>
      <c r="AK152" s="53">
        <v>45992</v>
      </c>
      <c r="AL152" s="53">
        <v>45993</v>
      </c>
      <c r="AM152" s="316">
        <v>1</v>
      </c>
      <c r="AN152" s="316">
        <v>413</v>
      </c>
      <c r="AO152" s="316" t="str">
        <v>Yes</v>
      </c>
      <c r="AP152" s="53" t="str">
        <v>T. DeYoung</v>
      </c>
      <c r="AQ152" s="53">
        <v>44459</v>
      </c>
      <c r="AR152" s="53" t="str">
        <v>D. Tosi</v>
      </c>
      <c r="AS152" s="53">
        <v>44480</v>
      </c>
      <c r="AT152" s="53" t="str">
        <v>Shipping date synched with main (downhole) cables due to storage limitation in MSU. Float in PTH.</v>
      </c>
    </row>
    <row r="153" spans="1:46" s="8" customFormat="1" ht="68" x14ac:dyDescent="0.2">
      <c r="A153" s="275">
        <v>1.3</v>
      </c>
      <c r="B153" s="276" t="str">
        <v>Installation</v>
      </c>
      <c r="C153" s="277" t="str">
        <v>String Sensors 87-88 (mDOMs DESY)</v>
      </c>
      <c r="D153" s="278" t="str">
        <v>Optical sensors for 2 strings from Germany (mDOMs) (spares included) - Do Not Deep Freeze</v>
      </c>
      <c r="E153" s="4">
        <v>40</v>
      </c>
      <c r="F153" s="4">
        <v>48</v>
      </c>
      <c r="G153" s="4">
        <v>46</v>
      </c>
      <c r="H153" s="4">
        <v>16</v>
      </c>
      <c r="I153" s="539">
        <v>52</v>
      </c>
      <c r="J153" s="4">
        <v>832</v>
      </c>
      <c r="K153" s="4">
        <v>573</v>
      </c>
      <c r="L153" s="4">
        <v>9168</v>
      </c>
      <c r="M153" s="4" t="str">
        <v>actual</v>
      </c>
      <c r="N153" s="4" t="str">
        <v>DNDF [-40C]</v>
      </c>
      <c r="O153" s="756" t="str">
        <v>DESY</v>
      </c>
      <c r="P153" s="758">
        <v>440</v>
      </c>
      <c r="Q153" s="878">
        <v>45065</v>
      </c>
      <c r="R153" s="757">
        <v>45505</v>
      </c>
      <c r="S153" s="757" t="str">
        <v>DESY - CHC</v>
      </c>
      <c r="T153" s="757" t="str">
        <v>ComSur</v>
      </c>
      <c r="U153" s="742" t="str">
        <v>DESY-CHC</v>
      </c>
      <c r="V153" s="742" t="str">
        <v>FY25 inter</v>
      </c>
      <c r="W153" s="742" t="str">
        <v>FY25 ComSur</v>
      </c>
      <c r="X153" s="742" t="str">
        <v>USAP Air</v>
      </c>
      <c r="Y153" s="774" t="str">
        <v>-</v>
      </c>
      <c r="Z153" s="774" t="str">
        <v>-</v>
      </c>
      <c r="AA153" s="774" t="str">
        <v>-</v>
      </c>
      <c r="AB153" s="774" t="str">
        <v>-</v>
      </c>
      <c r="AC153" s="774">
        <v>2</v>
      </c>
      <c r="AD153" s="702">
        <v>45597</v>
      </c>
      <c r="AE153" s="363" t="str">
        <v>FY25 intra</v>
      </c>
      <c r="AF153" s="363" t="str">
        <v>FY25 LC-130</v>
      </c>
      <c r="AG153" s="316" t="str">
        <v>-</v>
      </c>
      <c r="AH153" s="316" t="str">
        <v>-</v>
      </c>
      <c r="AI153" s="316" t="str">
        <v>-</v>
      </c>
      <c r="AJ153" s="316">
        <v>2</v>
      </c>
      <c r="AK153" s="53">
        <v>45641</v>
      </c>
      <c r="AL153" s="53">
        <v>45654</v>
      </c>
      <c r="AM153" s="316">
        <v>13</v>
      </c>
      <c r="AN153" s="316">
        <v>149</v>
      </c>
      <c r="AO153" s="316" t="str">
        <v>Yes</v>
      </c>
      <c r="AP153" s="53" t="str">
        <v>T. Karg</v>
      </c>
      <c r="AQ153" s="53">
        <v>44459</v>
      </c>
      <c r="AR153" s="53" t="str">
        <v>D. Tosi</v>
      </c>
      <c r="AS153" s="53">
        <v>44461</v>
      </c>
      <c r="AT153" s="53" t="str">
        <v>mDOM weight is 62 lbs (25kg/sensor + 3 kg/box) + 35kg pallet, assume 8 mDOMs/pallet - 116 to be deployed + 12 spares - 
shipped in 20 HC container. Container weight not included in the assumption that pallet will be taken out in CHC.</v>
      </c>
    </row>
    <row r="154" spans="1:46" s="8" customFormat="1" ht="68" x14ac:dyDescent="0.2">
      <c r="A154" s="9">
        <v>1.3</v>
      </c>
      <c r="B154" s="38" t="str">
        <v>Installation</v>
      </c>
      <c r="C154" s="11" t="str">
        <v>String Sensors 87-88 (mDOMs DESY)</v>
      </c>
      <c r="D154" s="3" t="str">
        <v>Optical sensors for 2 strings from Germany (mDOMs) (SPARES) - Do Not Deep Freeze</v>
      </c>
      <c r="E154" s="4">
        <v>40</v>
      </c>
      <c r="F154" s="4">
        <v>48</v>
      </c>
      <c r="G154" s="4">
        <v>46</v>
      </c>
      <c r="H154" s="4">
        <v>0</v>
      </c>
      <c r="I154" s="539">
        <v>52</v>
      </c>
      <c r="J154" s="4">
        <v>0</v>
      </c>
      <c r="K154" s="4">
        <v>573</v>
      </c>
      <c r="L154" s="4">
        <v>0</v>
      </c>
      <c r="M154" s="4" t="str">
        <v>actual</v>
      </c>
      <c r="N154" s="4" t="str">
        <v>DNDF [-40C]</v>
      </c>
      <c r="O154" s="756" t="str">
        <v>DESY</v>
      </c>
      <c r="P154" s="758">
        <v>440</v>
      </c>
      <c r="Q154" s="878">
        <v>45065</v>
      </c>
      <c r="R154" s="757">
        <v>45505</v>
      </c>
      <c r="S154" s="757" t="str">
        <v>DESY - CHC</v>
      </c>
      <c r="T154" s="757" t="str">
        <v>ComSur</v>
      </c>
      <c r="U154" s="742" t="str">
        <v>DESY-CHC</v>
      </c>
      <c r="V154" s="742" t="str">
        <v>FY25 inter</v>
      </c>
      <c r="W154" s="742" t="str">
        <v>FY25 ComSur</v>
      </c>
      <c r="X154" s="742" t="str">
        <v>USAP Air</v>
      </c>
      <c r="Y154" s="774" t="str">
        <v>-</v>
      </c>
      <c r="Z154" s="774" t="str">
        <v>-</v>
      </c>
      <c r="AA154" s="774" t="str">
        <v>-</v>
      </c>
      <c r="AB154" s="774" t="str">
        <v>-</v>
      </c>
      <c r="AC154" s="774">
        <v>0.25</v>
      </c>
      <c r="AD154" s="702">
        <v>45597</v>
      </c>
      <c r="AE154" s="363" t="str">
        <v>FY25 intra</v>
      </c>
      <c r="AF154" s="363" t="str">
        <v>FY25 LC-130</v>
      </c>
      <c r="AG154" s="316" t="str">
        <v>-</v>
      </c>
      <c r="AH154" s="316" t="str">
        <v>-</v>
      </c>
      <c r="AI154" s="316" t="str">
        <v>-</v>
      </c>
      <c r="AJ154" s="316">
        <v>0.25</v>
      </c>
      <c r="AK154" s="53">
        <v>45641</v>
      </c>
      <c r="AL154" s="53">
        <v>45654</v>
      </c>
      <c r="AM154" s="316">
        <v>13</v>
      </c>
      <c r="AN154" s="316">
        <v>149</v>
      </c>
      <c r="AO154" s="316" t="str">
        <v>Yes</v>
      </c>
      <c r="AP154" s="53" t="str">
        <v>T. Karg</v>
      </c>
      <c r="AQ154" s="53">
        <v>44459</v>
      </c>
      <c r="AR154" s="53" t="str">
        <v>D. Tosi</v>
      </c>
      <c r="AS154" s="53">
        <v>44461</v>
      </c>
      <c r="AT154" s="53" t="str">
        <v>mDOM weight is 62 lbs (25kg/sensor + 3 kg/box) + 35kg pallet, assume 8 mDOMs/pallet - shipped in 20 HC container. Container weight not included in the assumption that pallet will be taken out in CHC.</v>
      </c>
    </row>
    <row r="155" spans="1:46" s="8" customFormat="1" ht="34" x14ac:dyDescent="0.2">
      <c r="A155" s="9">
        <v>1.3</v>
      </c>
      <c r="B155" s="38" t="str">
        <v>Installation</v>
      </c>
      <c r="C155" s="11" t="str">
        <v>Special Devices 87-88 (Europe)</v>
      </c>
      <c r="D155" s="3" t="str">
        <v>Special devices for 2 strings from DESY/Germany/Sweden (8 WOMs, 0 Abalone) + spares - Do Not Deep Freeze</v>
      </c>
      <c r="E155" s="4">
        <v>40</v>
      </c>
      <c r="F155" s="4">
        <v>21</v>
      </c>
      <c r="G155" s="4">
        <v>64</v>
      </c>
      <c r="H155" s="4">
        <v>1</v>
      </c>
      <c r="I155" s="539">
        <v>32</v>
      </c>
      <c r="J155" s="4">
        <v>32</v>
      </c>
      <c r="K155" s="4">
        <v>701</v>
      </c>
      <c r="L155" s="4">
        <v>701</v>
      </c>
      <c r="M155" s="4" t="str">
        <v>estimated</v>
      </c>
      <c r="N155" s="4" t="str">
        <v>DNDF [-40C]</v>
      </c>
      <c r="O155" s="756" t="str">
        <v>Mainz</v>
      </c>
      <c r="P155" s="758">
        <v>578</v>
      </c>
      <c r="Q155" s="878">
        <v>44927</v>
      </c>
      <c r="R155" s="757">
        <v>45505</v>
      </c>
      <c r="S155" s="757" t="str">
        <v>DESY - CHC</v>
      </c>
      <c r="T155" s="757" t="str">
        <v>ComSur</v>
      </c>
      <c r="U155" s="742" t="str">
        <v>DESY-CHC</v>
      </c>
      <c r="V155" s="742" t="str">
        <v>FY25 inter</v>
      </c>
      <c r="W155" s="742" t="str">
        <v>FY25 ComSur</v>
      </c>
      <c r="X155" s="742" t="str">
        <v>USAP Air</v>
      </c>
      <c r="Y155" s="774" t="str">
        <v>-</v>
      </c>
      <c r="Z155" s="774" t="str">
        <v>-</v>
      </c>
      <c r="AA155" s="774" t="str">
        <v>-</v>
      </c>
      <c r="AB155" s="774" t="str">
        <v>-</v>
      </c>
      <c r="AC155" s="774">
        <v>0.25</v>
      </c>
      <c r="AD155" s="702">
        <v>45597</v>
      </c>
      <c r="AE155" s="363" t="str">
        <v>FY25 intra</v>
      </c>
      <c r="AF155" s="363" t="str">
        <v>FY25 LC-130</v>
      </c>
      <c r="AG155" s="316" t="str">
        <v>-</v>
      </c>
      <c r="AH155" s="316" t="str">
        <v>-</v>
      </c>
      <c r="AI155" s="316" t="str">
        <v>-</v>
      </c>
      <c r="AJ155" s="316">
        <v>0.25</v>
      </c>
      <c r="AK155" s="53">
        <v>45641</v>
      </c>
      <c r="AL155" s="53">
        <v>45654</v>
      </c>
      <c r="AM155" s="316">
        <v>13</v>
      </c>
      <c r="AN155" s="316">
        <v>149</v>
      </c>
      <c r="AO155" s="316" t="str">
        <v>Yes</v>
      </c>
      <c r="AP155" s="53" t="str">
        <v>S. Boeser</v>
      </c>
      <c r="AQ155" s="53">
        <v>44482</v>
      </c>
      <c r="AR155" s="53" t="str">
        <v>D. Tosi</v>
      </c>
      <c r="AS155" s="53">
        <v>44482</v>
      </c>
      <c r="AT155" s="53" t="str">
        <v xml:space="preserve">8 WOMs (no spares) - AH not included for now. Assume 150 lbs crate.  </v>
      </c>
    </row>
    <row r="156" spans="1:46" s="8" customFormat="1" ht="51" x14ac:dyDescent="0.2">
      <c r="A156" s="9">
        <v>1.5</v>
      </c>
      <c r="B156" s="38" t="str">
        <v>Installation</v>
      </c>
      <c r="C156" s="11" t="str">
        <v>Calibration Devices 87-88 (Europe)</v>
      </c>
      <c r="D156" s="3" t="str">
        <v>Calibration devices for 2 strings from DESY/Germany/Sweden (4+2 POCAMs, 3+1 Acoustic sensors,  2+1 Swedish Cameras) - Do Not Deep Freeze</v>
      </c>
      <c r="E156" s="4">
        <v>62</v>
      </c>
      <c r="F156" s="4">
        <v>38</v>
      </c>
      <c r="G156" s="4">
        <v>41</v>
      </c>
      <c r="H156" s="4">
        <v>1</v>
      </c>
      <c r="I156" s="539">
        <v>56</v>
      </c>
      <c r="J156" s="4">
        <v>56</v>
      </c>
      <c r="K156" s="4">
        <v>836</v>
      </c>
      <c r="L156" s="4">
        <v>836</v>
      </c>
      <c r="M156" s="4" t="str">
        <v>estimated</v>
      </c>
      <c r="N156" s="4" t="str">
        <v>DNDF [-40C]</v>
      </c>
      <c r="O156" s="756" t="str">
        <v>TUM/Aachen/Sweden</v>
      </c>
      <c r="P156" s="758">
        <v>792</v>
      </c>
      <c r="Q156" s="878">
        <v>44713</v>
      </c>
      <c r="R156" s="757">
        <v>45505</v>
      </c>
      <c r="S156" s="757" t="str">
        <v>DESY - CHC</v>
      </c>
      <c r="T156" s="757" t="str">
        <v>ComSur</v>
      </c>
      <c r="U156" s="742" t="str">
        <v>DESY-CHC</v>
      </c>
      <c r="V156" s="742" t="str">
        <v>FY25 inter</v>
      </c>
      <c r="W156" s="742" t="str">
        <v>FY25 ComSur</v>
      </c>
      <c r="X156" s="742" t="str">
        <v>USAP Air</v>
      </c>
      <c r="Y156" s="774" t="str">
        <v>-</v>
      </c>
      <c r="Z156" s="774" t="str">
        <v>-</v>
      </c>
      <c r="AA156" s="774" t="str">
        <v>-</v>
      </c>
      <c r="AB156" s="774" t="str">
        <v>-</v>
      </c>
      <c r="AC156" s="774">
        <v>0.25</v>
      </c>
      <c r="AD156" s="702">
        <v>45597</v>
      </c>
      <c r="AE156" s="363" t="str">
        <v>FY25 intra</v>
      </c>
      <c r="AF156" s="363" t="str">
        <v>FY25 LC-130</v>
      </c>
      <c r="AG156" s="316" t="str">
        <v>-</v>
      </c>
      <c r="AH156" s="316" t="str">
        <v>-</v>
      </c>
      <c r="AI156" s="316" t="str">
        <v>-</v>
      </c>
      <c r="AJ156" s="316">
        <v>0.25</v>
      </c>
      <c r="AK156" s="53">
        <v>45641</v>
      </c>
      <c r="AL156" s="53">
        <v>45654</v>
      </c>
      <c r="AM156" s="316">
        <v>13</v>
      </c>
      <c r="AN156" s="316">
        <v>149</v>
      </c>
      <c r="AO156" s="316" t="str">
        <v>Yes</v>
      </c>
      <c r="AP156" s="53" t="str">
        <v>D. Williams</v>
      </c>
      <c r="AQ156" s="53">
        <v>44482</v>
      </c>
      <c r="AR156" s="53" t="str">
        <v>D. Tosi</v>
      </c>
      <c r="AS156" s="53">
        <v>44482</v>
      </c>
      <c r="AT156" s="53" t="str">
        <v>Calibration devices for strings 87-88 = 2+1 Sweden Camera + 3+1 Acoustic Module + 4+1 POCAM, including spares, 200 lbs crate</v>
      </c>
    </row>
    <row r="157" spans="1:46" s="8" customFormat="1" ht="68" x14ac:dyDescent="0.2">
      <c r="A157" s="275">
        <v>1.4</v>
      </c>
      <c r="B157" s="276" t="str">
        <v>Installation</v>
      </c>
      <c r="C157" s="277" t="str">
        <v>FieldHub electronics</v>
      </c>
      <c r="D157" s="278" t="str">
        <v>Required onsite for FY24 installation. 1 crate containing readout electronics for installation in ICL - Do Not Freeze</v>
      </c>
      <c r="E157" s="4">
        <v>48</v>
      </c>
      <c r="F157" s="4">
        <v>48</v>
      </c>
      <c r="G157" s="4">
        <v>36</v>
      </c>
      <c r="H157" s="4">
        <v>1</v>
      </c>
      <c r="I157" s="539">
        <v>48</v>
      </c>
      <c r="J157" s="4">
        <v>48</v>
      </c>
      <c r="K157" s="4">
        <v>275</v>
      </c>
      <c r="L157" s="4">
        <v>275</v>
      </c>
      <c r="M157" s="4" t="str">
        <v>preliminary</v>
      </c>
      <c r="N157" s="4" t="str">
        <v>DNF</v>
      </c>
      <c r="O157" s="756" t="str">
        <v>DESY</v>
      </c>
      <c r="P157" s="758">
        <v>304</v>
      </c>
      <c r="Q157" s="878">
        <v>45215</v>
      </c>
      <c r="R157" s="757">
        <v>45519</v>
      </c>
      <c r="S157" s="757" t="str">
        <v>DESY - CHC</v>
      </c>
      <c r="T157" s="757" t="str">
        <v>ComSur</v>
      </c>
      <c r="U157" s="742" t="str">
        <v>DESY-CHC</v>
      </c>
      <c r="V157" s="742" t="str">
        <v>FY25 inter</v>
      </c>
      <c r="W157" s="742" t="str">
        <v>FY25 ComSur</v>
      </c>
      <c r="X157" s="742" t="str">
        <v>USAP Air</v>
      </c>
      <c r="Y157" s="774" t="str">
        <v>-</v>
      </c>
      <c r="Z157" s="774" t="str">
        <v>-</v>
      </c>
      <c r="AA157" s="774" t="str">
        <v>-</v>
      </c>
      <c r="AB157" s="774" t="str">
        <v>-</v>
      </c>
      <c r="AC157" s="774">
        <v>0.25</v>
      </c>
      <c r="AD157" s="702">
        <v>45597</v>
      </c>
      <c r="AE157" s="363" t="str">
        <v>FY25 intra</v>
      </c>
      <c r="AF157" s="363" t="str">
        <v>FY25 LC-130</v>
      </c>
      <c r="AG157" s="316" t="str">
        <v>-</v>
      </c>
      <c r="AH157" s="316" t="str">
        <v>-</v>
      </c>
      <c r="AI157" s="316" t="str">
        <v>-</v>
      </c>
      <c r="AJ157" s="316">
        <v>0.25</v>
      </c>
      <c r="AK157" s="53">
        <v>45626</v>
      </c>
      <c r="AL157" s="53">
        <v>45627</v>
      </c>
      <c r="AM157" s="316">
        <v>1</v>
      </c>
      <c r="AN157" s="316">
        <v>108</v>
      </c>
      <c r="AO157" s="316" t="str">
        <v>No</v>
      </c>
      <c r="AP157" s="53" t="str">
        <v>J. Kelley</v>
      </c>
      <c r="AQ157" s="53">
        <v>44482</v>
      </c>
      <c r="AR157" s="53" t="str">
        <v>D. Tosi</v>
      </c>
      <c r="AS157" s="53">
        <v>44662</v>
      </c>
      <c r="AT157" s="53" t="str">
        <v>Field Hubs are 442mm x 480mm x 133 mm (17.4" x 18.9" x 5.2") and weight maybe 10 lb each.  100 lbs crate. Ready to ship date actually chosen to be 2 weeks ahead of ship date to maximize time with the electronics (sort of backloaded)</v>
      </c>
    </row>
    <row r="158" spans="1:46" s="8" customFormat="1" ht="34" x14ac:dyDescent="0.2">
      <c r="A158" s="9">
        <v>1.3</v>
      </c>
      <c r="B158" s="38" t="str">
        <v>Installation</v>
      </c>
      <c r="C158" s="11" t="str">
        <v>String Sensors 87 &amp; 88 (D-Eggs-8x)</v>
      </c>
      <c r="D158" s="3" t="str">
        <v>Sensors (D-Eggs) pallets with 8 sensors  at Pole overwinter - Cryo location - Do Not Deep Freeze</v>
      </c>
      <c r="E158" s="4">
        <v>41</v>
      </c>
      <c r="F158" s="4">
        <v>41</v>
      </c>
      <c r="G158" s="4">
        <v>69</v>
      </c>
      <c r="H158" s="4">
        <v>4</v>
      </c>
      <c r="I158" s="539">
        <v>68</v>
      </c>
      <c r="J158" s="4">
        <v>272</v>
      </c>
      <c r="K158" s="4">
        <v>750</v>
      </c>
      <c r="L158" s="4">
        <v>3000</v>
      </c>
      <c r="M158" s="4" t="str">
        <v>actual</v>
      </c>
      <c r="N158" s="4" t="str">
        <v>DNDF [-40C]</v>
      </c>
      <c r="O158" s="756" t="str">
        <v>Chiba</v>
      </c>
      <c r="P158" s="758">
        <v>736</v>
      </c>
      <c r="Q158" s="878">
        <v>44769</v>
      </c>
      <c r="R158" s="757">
        <v>45505</v>
      </c>
      <c r="S158" s="757" t="str">
        <v>ChibaU - CHC</v>
      </c>
      <c r="T158" s="757" t="str">
        <v>Cargo shipment by CHU</v>
      </c>
      <c r="U158" s="742" t="str">
        <v>ChibaU - CHC</v>
      </c>
      <c r="V158" s="742" t="str">
        <v>FY25 inter</v>
      </c>
      <c r="W158" s="742" t="str">
        <v>FY25 ComSur</v>
      </c>
      <c r="X158" s="742" t="str">
        <v>USAP Air</v>
      </c>
      <c r="Y158" s="774" t="str">
        <v>-</v>
      </c>
      <c r="Z158" s="774" t="str">
        <v>-</v>
      </c>
      <c r="AA158" s="774" t="str">
        <v>-</v>
      </c>
      <c r="AB158" s="774" t="str">
        <v>-</v>
      </c>
      <c r="AC158" s="774">
        <v>1</v>
      </c>
      <c r="AD158" s="702">
        <v>45597</v>
      </c>
      <c r="AE158" s="363" t="str">
        <v>FY25 intra</v>
      </c>
      <c r="AF158" s="363" t="str">
        <v>FY25 LC-130</v>
      </c>
      <c r="AG158" s="316" t="str">
        <v>-</v>
      </c>
      <c r="AH158" s="316" t="str">
        <v>-</v>
      </c>
      <c r="AI158" s="316" t="str">
        <v>-</v>
      </c>
      <c r="AJ158" s="316">
        <v>1</v>
      </c>
      <c r="AK158" s="53">
        <v>45641</v>
      </c>
      <c r="AL158" s="53">
        <v>45654</v>
      </c>
      <c r="AM158" s="316">
        <v>13</v>
      </c>
      <c r="AN158" s="316">
        <v>149</v>
      </c>
      <c r="AO158" s="316" t="str">
        <v>Yes</v>
      </c>
      <c r="AP158" s="53" t="str">
        <v>S. Yoshida</v>
      </c>
      <c r="AQ158" s="53">
        <v>44461</v>
      </c>
      <c r="AR158" s="53" t="str">
        <v>D. Tosi</v>
      </c>
      <c r="AS158" s="53">
        <v>44662</v>
      </c>
      <c r="AT158" s="53" t="str">
        <v xml:space="preserve">Box size is 480x480x770mm (19"x19"x30.5"). 2x12-DEgg pallets combined with 2x8-DEgg pallets to form one 463L pallet </v>
      </c>
    </row>
    <row r="159" spans="1:46" s="8" customFormat="1" ht="34" x14ac:dyDescent="0.2">
      <c r="A159" s="9">
        <v>1.3</v>
      </c>
      <c r="B159" s="38" t="str">
        <v>Installation</v>
      </c>
      <c r="C159" s="11" t="str">
        <v>String Sensors 87 &amp; 88 (D-Eggs-8x)</v>
      </c>
      <c r="D159" s="3" t="str">
        <v xml:space="preserve">Sensors (D-Eggs) pallets with 8 sensors  at Pole overwinter (SPARES - TBD) - Cryo location - Do Not Deep Freeze </v>
      </c>
      <c r="E159" s="4">
        <v>41</v>
      </c>
      <c r="F159" s="4">
        <v>41</v>
      </c>
      <c r="G159" s="4">
        <v>69</v>
      </c>
      <c r="H159" s="4">
        <v>1</v>
      </c>
      <c r="I159" s="539">
        <v>68</v>
      </c>
      <c r="J159" s="4">
        <v>68</v>
      </c>
      <c r="K159" s="4">
        <v>750</v>
      </c>
      <c r="L159" s="4">
        <v>750</v>
      </c>
      <c r="M159" s="4" t="str">
        <v>actual</v>
      </c>
      <c r="N159" s="4" t="str">
        <v>DNDF [-40C]</v>
      </c>
      <c r="O159" s="756" t="str">
        <v>Chiba</v>
      </c>
      <c r="P159" s="758">
        <v>736</v>
      </c>
      <c r="Q159" s="878">
        <v>44769</v>
      </c>
      <c r="R159" s="757">
        <v>45505</v>
      </c>
      <c r="S159" s="757" t="str">
        <v>ChibaU - CHC</v>
      </c>
      <c r="T159" s="757" t="str">
        <v>Cargo shipment by CHU</v>
      </c>
      <c r="U159" s="742" t="str">
        <v>ChibaU - CHC</v>
      </c>
      <c r="V159" s="742" t="str">
        <v>FY25 inter</v>
      </c>
      <c r="W159" s="742" t="str">
        <v>FY25 ComSur</v>
      </c>
      <c r="X159" s="742" t="str">
        <v>USAP Air</v>
      </c>
      <c r="Y159" s="774" t="str">
        <v>-</v>
      </c>
      <c r="Z159" s="774" t="str">
        <v>-</v>
      </c>
      <c r="AA159" s="774" t="str">
        <v>-</v>
      </c>
      <c r="AB159" s="774" t="str">
        <v>-</v>
      </c>
      <c r="AC159" s="774">
        <v>0.25</v>
      </c>
      <c r="AD159" s="702">
        <v>45597</v>
      </c>
      <c r="AE159" s="363" t="str">
        <v>FY25 intra</v>
      </c>
      <c r="AF159" s="363" t="str">
        <v>FY25 LC-130</v>
      </c>
      <c r="AG159" s="316" t="str">
        <v>-</v>
      </c>
      <c r="AH159" s="316" t="str">
        <v>-</v>
      </c>
      <c r="AI159" s="316" t="str">
        <v>-</v>
      </c>
      <c r="AJ159" s="316">
        <v>0.25</v>
      </c>
      <c r="AK159" s="53">
        <v>45641</v>
      </c>
      <c r="AL159" s="53">
        <v>45654</v>
      </c>
      <c r="AM159" s="316">
        <v>13</v>
      </c>
      <c r="AN159" s="316">
        <v>149</v>
      </c>
      <c r="AO159" s="316" t="str">
        <v>Yes</v>
      </c>
      <c r="AP159" s="53" t="str">
        <v>S. Yoshida</v>
      </c>
      <c r="AQ159" s="53">
        <v>44461</v>
      </c>
      <c r="AR159" s="53" t="str">
        <v>D. Tosi</v>
      </c>
      <c r="AS159" s="53">
        <v>44662</v>
      </c>
      <c r="AT159" s="53" t="str">
        <v xml:space="preserve">SPARES number to be confirmed.  </v>
      </c>
    </row>
    <row r="160" spans="1:46" s="8" customFormat="1" ht="34" x14ac:dyDescent="0.2">
      <c r="A160" s="9">
        <v>1.3</v>
      </c>
      <c r="B160" s="38" t="str">
        <v>Installation</v>
      </c>
      <c r="C160" s="11" t="str">
        <v>String Sensors 87 &amp; 88 (D-Eggs-12x)</v>
      </c>
      <c r="D160" s="3" t="str">
        <v>Sensors (D-Eggs) pallets with 12 sensors  at Pole overwinter - Cryo location - Do Not Deep Freeze</v>
      </c>
      <c r="E160" s="4">
        <v>60</v>
      </c>
      <c r="F160" s="4">
        <v>41</v>
      </c>
      <c r="G160" s="4">
        <v>69</v>
      </c>
      <c r="H160" s="4">
        <v>4</v>
      </c>
      <c r="I160" s="539">
        <v>99</v>
      </c>
      <c r="J160" s="4">
        <v>396</v>
      </c>
      <c r="K160" s="4">
        <v>1102</v>
      </c>
      <c r="L160" s="4">
        <v>4408</v>
      </c>
      <c r="M160" s="4" t="str">
        <v>actual</v>
      </c>
      <c r="N160" s="4" t="str">
        <v>DNDF [-40C]</v>
      </c>
      <c r="O160" s="756" t="str">
        <v>Chiba</v>
      </c>
      <c r="P160" s="758">
        <v>736</v>
      </c>
      <c r="Q160" s="878">
        <v>44769</v>
      </c>
      <c r="R160" s="757">
        <v>45505</v>
      </c>
      <c r="S160" s="757" t="str">
        <v>ChibaU - CHC</v>
      </c>
      <c r="T160" s="757" t="str">
        <v>Cargo shipment by CHU</v>
      </c>
      <c r="U160" s="742" t="str">
        <v>ChibaU - CHC</v>
      </c>
      <c r="V160" s="742" t="str">
        <v>FY25 inter</v>
      </c>
      <c r="W160" s="742" t="str">
        <v>FY25 ComSur</v>
      </c>
      <c r="X160" s="742" t="str">
        <v>USAP Air</v>
      </c>
      <c r="Y160" s="774" t="str">
        <v>-</v>
      </c>
      <c r="Z160" s="774" t="str">
        <v>-</v>
      </c>
      <c r="AA160" s="774" t="str">
        <v>-</v>
      </c>
      <c r="AB160" s="774" t="str">
        <v>-</v>
      </c>
      <c r="AC160" s="774">
        <v>1</v>
      </c>
      <c r="AD160" s="702">
        <v>45597</v>
      </c>
      <c r="AE160" s="363" t="str">
        <v>FY25 intra</v>
      </c>
      <c r="AF160" s="363" t="str">
        <v>FY25 LC-130</v>
      </c>
      <c r="AG160" s="316" t="str">
        <v>-</v>
      </c>
      <c r="AH160" s="316" t="str">
        <v>-</v>
      </c>
      <c r="AI160" s="316" t="str">
        <v>-</v>
      </c>
      <c r="AJ160" s="316">
        <v>1</v>
      </c>
      <c r="AK160" s="53">
        <v>45641</v>
      </c>
      <c r="AL160" s="53">
        <v>45654</v>
      </c>
      <c r="AM160" s="316">
        <v>13</v>
      </c>
      <c r="AN160" s="316">
        <v>149</v>
      </c>
      <c r="AO160" s="316" t="str">
        <v>Yes</v>
      </c>
      <c r="AP160" s="53" t="str">
        <v>S. Yoshida</v>
      </c>
      <c r="AQ160" s="53">
        <v>44461</v>
      </c>
      <c r="AR160" s="53" t="str">
        <v>D. Tosi</v>
      </c>
      <c r="AS160" s="53">
        <v>44662</v>
      </c>
      <c r="AT160" s="53" t="str">
        <v xml:space="preserve">2x12-DEgg pallets combined with 2x8-DEgg pallets to form one 463L pallet </v>
      </c>
    </row>
    <row r="161" spans="1:46" s="8" customFormat="1" ht="34" x14ac:dyDescent="0.2">
      <c r="A161" s="275">
        <v>1.3</v>
      </c>
      <c r="B161" s="276" t="str">
        <v>Installation</v>
      </c>
      <c r="C161" s="277" t="str">
        <v>String Sensors 87 &amp; 88 (D-Eggs-12x)</v>
      </c>
      <c r="D161" s="278" t="str">
        <v>Sensors (D-Eggs) pallets with 12 sensors  at Pole overwinter (SPARES - TBD)- Cryo location - Do Not Deep Freeze</v>
      </c>
      <c r="E161" s="4">
        <v>60</v>
      </c>
      <c r="F161" s="4">
        <v>41</v>
      </c>
      <c r="G161" s="4">
        <v>69</v>
      </c>
      <c r="H161" s="4">
        <v>1</v>
      </c>
      <c r="I161" s="539">
        <v>99</v>
      </c>
      <c r="J161" s="4">
        <v>99</v>
      </c>
      <c r="K161" s="4">
        <v>1102</v>
      </c>
      <c r="L161" s="4">
        <v>1102</v>
      </c>
      <c r="M161" s="4" t="str">
        <v>actual</v>
      </c>
      <c r="N161" s="4" t="str">
        <v>DNDF [-40C]</v>
      </c>
      <c r="O161" s="756" t="str">
        <v>Chiba</v>
      </c>
      <c r="P161" s="758">
        <v>736</v>
      </c>
      <c r="Q161" s="878">
        <v>44769</v>
      </c>
      <c r="R161" s="757">
        <v>45505</v>
      </c>
      <c r="S161" s="757" t="str">
        <v>ChibaU - CHC</v>
      </c>
      <c r="T161" s="757" t="str">
        <v>Cargo shipment by CHU</v>
      </c>
      <c r="U161" s="742" t="str">
        <v>ChibaU - CHC</v>
      </c>
      <c r="V161" s="742" t="str">
        <v>FY25 inter</v>
      </c>
      <c r="W161" s="742" t="str">
        <v>FY25 ComSur</v>
      </c>
      <c r="X161" s="742" t="str">
        <v>USAP Air</v>
      </c>
      <c r="Y161" s="774" t="str">
        <v>-</v>
      </c>
      <c r="Z161" s="774" t="str">
        <v>-</v>
      </c>
      <c r="AA161" s="774" t="str">
        <v>-</v>
      </c>
      <c r="AB161" s="774" t="str">
        <v>-</v>
      </c>
      <c r="AC161" s="774">
        <v>0.25</v>
      </c>
      <c r="AD161" s="702">
        <v>45597</v>
      </c>
      <c r="AE161" s="363" t="str">
        <v>FY25 intra</v>
      </c>
      <c r="AF161" s="363" t="str">
        <v>FY25 LC-130</v>
      </c>
      <c r="AG161" s="316" t="str">
        <v>-</v>
      </c>
      <c r="AH161" s="316" t="str">
        <v>-</v>
      </c>
      <c r="AI161" s="316" t="str">
        <v>-</v>
      </c>
      <c r="AJ161" s="316">
        <v>0.25</v>
      </c>
      <c r="AK161" s="53">
        <v>45641</v>
      </c>
      <c r="AL161" s="53">
        <v>45654</v>
      </c>
      <c r="AM161" s="316">
        <v>13</v>
      </c>
      <c r="AN161" s="316">
        <v>149</v>
      </c>
      <c r="AO161" s="316" t="str">
        <v>Yes</v>
      </c>
      <c r="AP161" s="53" t="str">
        <v>S. Yoshida</v>
      </c>
      <c r="AQ161" s="53">
        <v>44461</v>
      </c>
      <c r="AR161" s="53" t="str">
        <v>D. Tosi</v>
      </c>
      <c r="AS161" s="53">
        <v>44662</v>
      </c>
      <c r="AT161" s="53" t="str">
        <v xml:space="preserve">SPARES number to be confirmed. </v>
      </c>
    </row>
    <row r="162" spans="1:46" s="8" customFormat="1" ht="34" x14ac:dyDescent="0.2">
      <c r="A162" s="9">
        <v>1.2</v>
      </c>
      <c r="B162" s="38" t="str">
        <v>Fuel</v>
      </c>
      <c r="C162" s="11" t="str">
        <v>Field Season 2 Fuel</v>
      </c>
      <c r="D162" s="3" t="str">
        <v>Fuel to support FY24 field season - Base fuel, firn drilling &amp; over winter heating</v>
      </c>
      <c r="E162" s="4">
        <v>0</v>
      </c>
      <c r="F162" s="4">
        <v>0</v>
      </c>
      <c r="G162" s="4">
        <v>0</v>
      </c>
      <c r="H162" s="4">
        <v>18178</v>
      </c>
      <c r="I162" s="539">
        <v>0</v>
      </c>
      <c r="J162" s="4">
        <v>2430.0500000000002</v>
      </c>
      <c r="K162" s="4">
        <v>6.8</v>
      </c>
      <c r="L162" s="4">
        <v>123610.4</v>
      </c>
      <c r="M162" s="4" t="str">
        <v>preliminary</v>
      </c>
      <c r="N162" s="4" t="str">
        <v>-</v>
      </c>
      <c r="O162" s="756" t="str">
        <v>-</v>
      </c>
      <c r="P162" s="758" t="str">
        <v>-</v>
      </c>
      <c r="Q162" s="878" t="str">
        <v>-</v>
      </c>
      <c r="R162" s="757" t="str">
        <v>-</v>
      </c>
      <c r="S162" s="757" t="str">
        <v>-</v>
      </c>
      <c r="T162" s="757" t="str">
        <v>-</v>
      </c>
      <c r="U162" s="742" t="str">
        <v>-</v>
      </c>
      <c r="V162" s="742" t="str">
        <v>FY25 inter</v>
      </c>
      <c r="W162" s="742" t="str">
        <v>-</v>
      </c>
      <c r="X162" s="742" t="str">
        <v>-</v>
      </c>
      <c r="Y162" s="774" t="str">
        <v>-</v>
      </c>
      <c r="Z162" s="774" t="str">
        <v>-</v>
      </c>
      <c r="AA162" s="774" t="str">
        <v>-</v>
      </c>
      <c r="AB162" s="774" t="str">
        <v>-</v>
      </c>
      <c r="AC162" s="774">
        <v>0</v>
      </c>
      <c r="AD162" s="702">
        <v>45597</v>
      </c>
      <c r="AE162" s="363" t="str">
        <v>FY25 intra</v>
      </c>
      <c r="AF162" s="363" t="str">
        <v>FY25 LC-Tanker</v>
      </c>
      <c r="AG162" s="316" t="str">
        <v>-</v>
      </c>
      <c r="AH162" s="316" t="str">
        <v>-</v>
      </c>
      <c r="AI162" s="316" t="str">
        <v>-</v>
      </c>
      <c r="AJ162" s="316">
        <v>0</v>
      </c>
      <c r="AK162" s="53">
        <v>45627</v>
      </c>
      <c r="AL162" s="53">
        <v>45627</v>
      </c>
      <c r="AM162" s="316">
        <v>0</v>
      </c>
      <c r="AN162" s="316" t="str">
        <v>-</v>
      </c>
      <c r="AO162" s="316" t="str">
        <v>Yes</v>
      </c>
      <c r="AP162" s="53" t="str">
        <v>T. Benson</v>
      </c>
      <c r="AQ162" s="53">
        <v>44483</v>
      </c>
      <c r="AR162" s="53" t="str">
        <v>I. McEwen</v>
      </c>
      <c r="AS162" s="53">
        <v>44483</v>
      </c>
      <c r="AT162" s="53" t="str">
        <v>-</v>
      </c>
    </row>
    <row r="163" spans="1:46" s="8" customFormat="1" ht="17" x14ac:dyDescent="0.2">
      <c r="A163" s="9">
        <v>1.2</v>
      </c>
      <c r="B163" s="38" t="str">
        <v>Fuel</v>
      </c>
      <c r="C163" s="11" t="str">
        <v>Field Season 2 Fuel Contingency</v>
      </c>
      <c r="D163" s="3" t="str">
        <v>Fuel to support FY24 field season - Contingency</v>
      </c>
      <c r="E163" s="4">
        <v>0</v>
      </c>
      <c r="F163" s="4">
        <v>0</v>
      </c>
      <c r="G163" s="4">
        <v>0</v>
      </c>
      <c r="H163" s="4">
        <v>2373</v>
      </c>
      <c r="I163" s="539">
        <v>0</v>
      </c>
      <c r="J163" s="4">
        <v>317.23</v>
      </c>
      <c r="K163" s="4">
        <v>6.8</v>
      </c>
      <c r="L163" s="4">
        <v>16136.4</v>
      </c>
      <c r="M163" s="4" t="str">
        <v>preliminary</v>
      </c>
      <c r="N163" s="4" t="str">
        <v>-</v>
      </c>
      <c r="O163" s="756" t="str">
        <v>-</v>
      </c>
      <c r="P163" s="758" t="str">
        <v>-</v>
      </c>
      <c r="Q163" s="878" t="str">
        <v>-</v>
      </c>
      <c r="R163" s="757" t="str">
        <v>-</v>
      </c>
      <c r="S163" s="757" t="str">
        <v>-</v>
      </c>
      <c r="T163" s="757" t="str">
        <v>-</v>
      </c>
      <c r="U163" s="742" t="str">
        <v>-</v>
      </c>
      <c r="V163" s="742" t="str">
        <v>FY25 inter</v>
      </c>
      <c r="W163" s="742" t="str">
        <v>-</v>
      </c>
      <c r="X163" s="742" t="str">
        <v>-</v>
      </c>
      <c r="Y163" s="774" t="str">
        <v>-</v>
      </c>
      <c r="Z163" s="774" t="str">
        <v>-</v>
      </c>
      <c r="AA163" s="774" t="str">
        <v>-</v>
      </c>
      <c r="AB163" s="774" t="str">
        <v>-</v>
      </c>
      <c r="AC163" s="774">
        <v>0</v>
      </c>
      <c r="AD163" s="702">
        <v>45597</v>
      </c>
      <c r="AE163" s="363" t="str">
        <v>FY25 intra</v>
      </c>
      <c r="AF163" s="363" t="str">
        <v>FY25 LC-Tanker</v>
      </c>
      <c r="AG163" s="316" t="str">
        <v>-</v>
      </c>
      <c r="AH163" s="316" t="str">
        <v>-</v>
      </c>
      <c r="AI163" s="316" t="str">
        <v>-</v>
      </c>
      <c r="AJ163" s="316">
        <v>0</v>
      </c>
      <c r="AK163" s="53">
        <v>45627</v>
      </c>
      <c r="AL163" s="53">
        <v>45627</v>
      </c>
      <c r="AM163" s="316">
        <v>0</v>
      </c>
      <c r="AN163" s="316" t="str">
        <v>-</v>
      </c>
      <c r="AO163" s="316" t="str">
        <v>Yes</v>
      </c>
      <c r="AP163" s="53" t="str">
        <v>T. Benson</v>
      </c>
      <c r="AQ163" s="53">
        <v>44483</v>
      </c>
      <c r="AR163" s="53" t="str">
        <v>I. McEwen</v>
      </c>
      <c r="AS163" s="53">
        <v>44483</v>
      </c>
      <c r="AT163" s="53" t="str">
        <v>-</v>
      </c>
    </row>
    <row r="164" spans="1:46" s="8" customFormat="1" x14ac:dyDescent="0.2">
      <c r="A164" s="9"/>
      <c r="B164" s="38"/>
      <c r="C164" s="11"/>
      <c r="D164" s="3"/>
      <c r="E164" s="4"/>
      <c r="F164" s="4"/>
      <c r="G164" s="4"/>
      <c r="H164" s="4"/>
      <c r="I164" s="539"/>
      <c r="J164" s="4"/>
      <c r="K164" s="4"/>
      <c r="L164" s="4"/>
      <c r="M164" s="4"/>
      <c r="N164" s="4"/>
      <c r="O164" s="756"/>
      <c r="P164" s="758"/>
      <c r="Q164" s="878"/>
      <c r="R164" s="757"/>
      <c r="S164" s="757"/>
      <c r="T164" s="757"/>
      <c r="U164" s="742"/>
      <c r="V164" s="742"/>
      <c r="W164" s="742"/>
      <c r="X164" s="742"/>
      <c r="Y164" s="774"/>
      <c r="Z164" s="774"/>
      <c r="AA164" s="774"/>
      <c r="AB164" s="774"/>
      <c r="AC164" s="774"/>
      <c r="AD164" s="702"/>
      <c r="AE164" s="363"/>
      <c r="AF164" s="363"/>
      <c r="AG164" s="316"/>
      <c r="AH164" s="316"/>
      <c r="AI164" s="316"/>
      <c r="AJ164" s="316"/>
      <c r="AK164" s="53"/>
      <c r="AL164" s="53"/>
      <c r="AM164" s="316"/>
      <c r="AN164" s="316"/>
      <c r="AO164" s="316"/>
      <c r="AP164" s="53"/>
      <c r="AQ164" s="53"/>
      <c r="AR164" s="53"/>
      <c r="AS164" s="53"/>
      <c r="AT164" s="53"/>
    </row>
    <row r="165" spans="1:46" s="8" customFormat="1" x14ac:dyDescent="0.2">
      <c r="A165" s="275"/>
      <c r="B165" s="276"/>
      <c r="C165" s="277"/>
      <c r="D165" s="278"/>
      <c r="E165" s="4"/>
      <c r="F165" s="4"/>
      <c r="G165" s="4"/>
      <c r="H165" s="4"/>
      <c r="I165" s="539"/>
      <c r="J165" s="4"/>
      <c r="K165" s="4"/>
      <c r="L165" s="4"/>
      <c r="M165" s="4"/>
      <c r="N165" s="4"/>
      <c r="O165" s="756"/>
      <c r="P165" s="758"/>
      <c r="Q165" s="878"/>
      <c r="R165" s="757"/>
      <c r="S165" s="757"/>
      <c r="T165" s="757"/>
      <c r="U165" s="742"/>
      <c r="V165" s="742"/>
      <c r="W165" s="742"/>
      <c r="X165" s="742"/>
      <c r="Y165" s="774"/>
      <c r="Z165" s="774"/>
      <c r="AA165" s="774"/>
      <c r="AB165" s="774"/>
      <c r="AC165" s="774"/>
      <c r="AD165" s="702"/>
      <c r="AE165" s="363"/>
      <c r="AF165" s="363"/>
      <c r="AG165" s="316"/>
      <c r="AH165" s="316"/>
      <c r="AI165" s="316"/>
      <c r="AJ165" s="316"/>
      <c r="AK165" s="53"/>
      <c r="AL165" s="53"/>
      <c r="AM165" s="316"/>
      <c r="AN165" s="316"/>
      <c r="AO165" s="316"/>
      <c r="AP165" s="53"/>
      <c r="AQ165" s="53"/>
      <c r="AR165" s="53"/>
      <c r="AS165" s="53"/>
      <c r="AT165" s="53"/>
    </row>
    <row r="166" spans="1:46" s="8" customFormat="1" x14ac:dyDescent="0.2">
      <c r="A166" s="9"/>
      <c r="B166" s="38"/>
      <c r="C166" s="11"/>
      <c r="D166" s="3"/>
      <c r="E166" s="4"/>
      <c r="F166" s="4"/>
      <c r="G166" s="4"/>
      <c r="H166" s="4"/>
      <c r="I166" s="539"/>
      <c r="J166" s="4"/>
      <c r="K166" s="4"/>
      <c r="L166" s="4"/>
      <c r="M166" s="4"/>
      <c r="N166" s="4"/>
      <c r="O166" s="756"/>
      <c r="P166" s="758"/>
      <c r="Q166" s="878"/>
      <c r="R166" s="757"/>
      <c r="S166" s="757"/>
      <c r="T166" s="757"/>
      <c r="U166" s="742"/>
      <c r="V166" s="742"/>
      <c r="W166" s="742"/>
      <c r="X166" s="742"/>
      <c r="Y166" s="774"/>
      <c r="Z166" s="774"/>
      <c r="AA166" s="774"/>
      <c r="AB166" s="774"/>
      <c r="AC166" s="774"/>
      <c r="AD166" s="702"/>
      <c r="AE166" s="363"/>
      <c r="AF166" s="363"/>
      <c r="AG166" s="316"/>
      <c r="AH166" s="316"/>
      <c r="AI166" s="316"/>
      <c r="AJ166" s="316"/>
      <c r="AK166" s="53"/>
      <c r="AL166" s="53"/>
      <c r="AM166" s="316"/>
      <c r="AN166" s="316"/>
      <c r="AO166" s="316"/>
      <c r="AP166" s="53"/>
      <c r="AQ166" s="53"/>
      <c r="AR166" s="53"/>
      <c r="AS166" s="53"/>
      <c r="AT166" s="53"/>
    </row>
    <row r="167" spans="1:46" s="8" customFormat="1" x14ac:dyDescent="0.2">
      <c r="A167" s="9"/>
      <c r="B167" s="38"/>
      <c r="C167" s="11"/>
      <c r="D167" s="3"/>
      <c r="E167" s="4"/>
      <c r="F167" s="4"/>
      <c r="G167" s="4"/>
      <c r="H167" s="4"/>
      <c r="I167" s="539"/>
      <c r="J167" s="4"/>
      <c r="K167" s="4"/>
      <c r="L167" s="4"/>
      <c r="M167" s="4"/>
      <c r="N167" s="4"/>
      <c r="O167" s="756"/>
      <c r="P167" s="758"/>
      <c r="Q167" s="878"/>
      <c r="R167" s="757"/>
      <c r="S167" s="757"/>
      <c r="T167" s="757"/>
      <c r="U167" s="742"/>
      <c r="V167" s="742"/>
      <c r="W167" s="742"/>
      <c r="X167" s="742"/>
      <c r="Y167" s="774"/>
      <c r="Z167" s="774"/>
      <c r="AA167" s="774"/>
      <c r="AB167" s="774"/>
      <c r="AC167" s="774"/>
      <c r="AD167" s="702"/>
      <c r="AE167" s="363"/>
      <c r="AF167" s="363"/>
      <c r="AG167" s="316"/>
      <c r="AH167" s="316"/>
      <c r="AI167" s="316"/>
      <c r="AJ167" s="316"/>
      <c r="AK167" s="53"/>
      <c r="AL167" s="53"/>
      <c r="AM167" s="316"/>
      <c r="AN167" s="316"/>
      <c r="AO167" s="316"/>
      <c r="AP167" s="53"/>
      <c r="AQ167" s="53"/>
      <c r="AR167" s="53"/>
      <c r="AS167" s="53"/>
      <c r="AT167" s="53"/>
    </row>
    <row r="168" spans="1:46" s="8" customFormat="1" x14ac:dyDescent="0.2">
      <c r="A168" s="9"/>
      <c r="B168" s="38"/>
      <c r="C168" s="11"/>
      <c r="D168" s="3"/>
      <c r="E168" s="4"/>
      <c r="F168" s="4"/>
      <c r="G168" s="4"/>
      <c r="H168" s="4"/>
      <c r="I168" s="539"/>
      <c r="J168" s="4"/>
      <c r="K168" s="4"/>
      <c r="L168" s="4"/>
      <c r="M168" s="4"/>
      <c r="N168" s="4"/>
      <c r="O168" s="756"/>
      <c r="P168" s="758"/>
      <c r="Q168" s="878"/>
      <c r="R168" s="757"/>
      <c r="S168" s="757"/>
      <c r="T168" s="757"/>
      <c r="U168" s="742"/>
      <c r="V168" s="742"/>
      <c r="W168" s="742"/>
      <c r="X168" s="742"/>
      <c r="Y168" s="774"/>
      <c r="Z168" s="774"/>
      <c r="AA168" s="774"/>
      <c r="AB168" s="774"/>
      <c r="AC168" s="774"/>
      <c r="AD168" s="702"/>
      <c r="AE168" s="363"/>
      <c r="AF168" s="363"/>
      <c r="AG168" s="316"/>
      <c r="AH168" s="316"/>
      <c r="AI168" s="316"/>
      <c r="AJ168" s="316"/>
      <c r="AK168" s="53"/>
      <c r="AL168" s="53"/>
      <c r="AM168" s="316"/>
      <c r="AN168" s="316"/>
      <c r="AO168" s="316"/>
      <c r="AP168" s="53"/>
      <c r="AQ168" s="53"/>
      <c r="AR168" s="53"/>
      <c r="AS168" s="53"/>
      <c r="AT168" s="53"/>
    </row>
    <row r="169" spans="1:46" s="8" customFormat="1" ht="17" thickBot="1" x14ac:dyDescent="0.25">
      <c r="A169" s="275"/>
      <c r="B169" s="276"/>
      <c r="C169" s="277"/>
      <c r="D169" s="278"/>
      <c r="E169" s="4"/>
      <c r="F169" s="4"/>
      <c r="G169" s="4"/>
      <c r="H169" s="4"/>
      <c r="I169" s="539"/>
      <c r="J169" s="4"/>
      <c r="K169" s="4"/>
      <c r="L169" s="4"/>
      <c r="M169" s="4"/>
      <c r="N169" s="4"/>
      <c r="O169" s="756"/>
      <c r="P169" s="758"/>
      <c r="Q169" s="878"/>
      <c r="R169" s="757"/>
      <c r="S169" s="757"/>
      <c r="T169" s="757"/>
      <c r="U169" s="742"/>
      <c r="V169" s="742"/>
      <c r="W169" s="742"/>
      <c r="X169" s="742"/>
      <c r="Y169" s="774"/>
      <c r="Z169" s="774"/>
      <c r="AA169" s="774"/>
      <c r="AB169" s="774"/>
      <c r="AC169" s="774"/>
      <c r="AD169" s="702"/>
      <c r="AE169" s="363"/>
      <c r="AF169" s="363"/>
      <c r="AG169" s="316"/>
      <c r="AH169" s="316"/>
      <c r="AI169" s="316"/>
      <c r="AJ169" s="316"/>
      <c r="AK169" s="53"/>
      <c r="AL169" s="53"/>
      <c r="AM169" s="316"/>
      <c r="AN169" s="316"/>
      <c r="AO169" s="316"/>
      <c r="AP169" s="53"/>
      <c r="AQ169" s="53"/>
      <c r="AR169" s="53"/>
      <c r="AS169" s="53"/>
      <c r="AT169" s="53"/>
    </row>
    <row r="170" spans="1:46" ht="17" thickBot="1" x14ac:dyDescent="0.25">
      <c r="A170" s="796"/>
      <c r="B170" s="804"/>
      <c r="C170" s="802"/>
      <c r="D170" s="802"/>
      <c r="E170" s="796"/>
      <c r="F170" s="796"/>
      <c r="G170" s="796"/>
      <c r="H170" s="796"/>
      <c r="I170" s="800"/>
      <c r="J170" s="805">
        <f>SUM(J142:J169)</f>
        <v>6722.2800000000007</v>
      </c>
      <c r="K170" s="54"/>
      <c r="L170" s="805">
        <f>SUM(L142:L169)</f>
        <v>189661.8</v>
      </c>
      <c r="M170" s="796"/>
      <c r="N170" s="796"/>
      <c r="O170" s="796"/>
      <c r="P170" s="796"/>
      <c r="Q170" s="798"/>
      <c r="R170" s="798"/>
      <c r="S170" s="798"/>
      <c r="T170" s="798"/>
      <c r="U170" s="796"/>
      <c r="V170" s="796"/>
      <c r="W170" s="796"/>
      <c r="X170" s="806">
        <f>AB170+AA170+(Y170*2)+(Z170*2)</f>
        <v>3.5</v>
      </c>
      <c r="Y170" s="319">
        <f>SUM(Y142:Y169)</f>
        <v>0</v>
      </c>
      <c r="Z170" s="319">
        <f t="shared" ref="Z170:AC170" si="3">SUM(Z142:Z169)</f>
        <v>0.25</v>
      </c>
      <c r="AA170" s="319">
        <f t="shared" si="3"/>
        <v>3</v>
      </c>
      <c r="AB170" s="319">
        <f t="shared" si="3"/>
        <v>0</v>
      </c>
      <c r="AC170" s="319">
        <f t="shared" si="3"/>
        <v>8.75</v>
      </c>
      <c r="AD170" s="807"/>
      <c r="AE170" s="517"/>
      <c r="AF170" s="517"/>
      <c r="AG170" s="517"/>
      <c r="AH170" s="517"/>
      <c r="AI170" s="517"/>
      <c r="AK170" s="409"/>
      <c r="AL170" s="798"/>
      <c r="AM170" s="786"/>
      <c r="AN170" s="786"/>
      <c r="AO170" s="798"/>
      <c r="AP170" s="798"/>
      <c r="AQ170" s="798"/>
      <c r="AR170" s="798"/>
      <c r="AS170" s="799"/>
      <c r="AT170" s="796"/>
    </row>
    <row r="171" spans="1:46" x14ac:dyDescent="0.2">
      <c r="A171" s="796"/>
      <c r="B171" s="804"/>
      <c r="C171" s="802"/>
      <c r="D171" s="802"/>
      <c r="E171" s="796"/>
      <c r="F171" s="796"/>
      <c r="G171" s="796"/>
      <c r="H171" s="796"/>
      <c r="I171" s="800"/>
      <c r="J171" s="796" t="s">
        <v>478</v>
      </c>
      <c r="K171" s="54"/>
      <c r="L171" s="8" t="s">
        <v>479</v>
      </c>
      <c r="M171" s="8"/>
      <c r="N171" s="796"/>
      <c r="O171" s="796"/>
      <c r="P171" s="796"/>
      <c r="Q171" s="798"/>
      <c r="R171" s="798"/>
      <c r="S171" s="798"/>
      <c r="T171" s="798"/>
      <c r="U171" s="796"/>
      <c r="V171" s="796"/>
      <c r="W171" s="796"/>
      <c r="X171" s="798" t="s">
        <v>485</v>
      </c>
      <c r="Y171" s="8" t="s">
        <v>486</v>
      </c>
      <c r="Z171" s="8" t="s">
        <v>487</v>
      </c>
      <c r="AA171" s="59" t="s">
        <v>488</v>
      </c>
      <c r="AB171" s="59" t="s">
        <v>489</v>
      </c>
      <c r="AC171" s="59" t="s">
        <v>484</v>
      </c>
      <c r="AD171" s="798"/>
      <c r="AE171" s="8"/>
      <c r="AF171" s="8"/>
      <c r="AG171" s="59"/>
      <c r="AH171" s="59"/>
      <c r="AI171" s="59"/>
      <c r="AK171" s="409"/>
      <c r="AL171" s="798"/>
      <c r="AM171" s="786"/>
      <c r="AN171" s="786"/>
      <c r="AO171" s="798"/>
      <c r="AP171" s="798"/>
      <c r="AQ171" s="798"/>
      <c r="AR171" s="798"/>
      <c r="AS171" s="799"/>
      <c r="AT171" s="796"/>
    </row>
    <row r="172" spans="1:46" x14ac:dyDescent="0.2">
      <c r="A172" s="796"/>
      <c r="B172" s="804"/>
      <c r="C172" s="802"/>
      <c r="D172" s="802"/>
      <c r="E172" s="796"/>
      <c r="F172" s="796"/>
      <c r="G172" s="796"/>
      <c r="H172" s="796"/>
      <c r="I172" s="800"/>
      <c r="J172" s="796"/>
      <c r="K172" s="796"/>
      <c r="L172" s="796"/>
      <c r="M172" s="801"/>
      <c r="N172" s="796"/>
      <c r="O172" s="796"/>
      <c r="P172" s="796"/>
      <c r="Q172" s="798"/>
      <c r="R172" s="798"/>
      <c r="S172" s="798"/>
      <c r="T172" s="798"/>
      <c r="U172" s="796"/>
      <c r="V172" s="796"/>
      <c r="W172" s="796"/>
      <c r="X172" s="796"/>
      <c r="Y172" s="786"/>
      <c r="Z172" s="786"/>
      <c r="AA172" s="786"/>
      <c r="AB172" s="786"/>
      <c r="AC172" s="786"/>
      <c r="AD172" s="798"/>
      <c r="AE172" s="786"/>
      <c r="AF172" s="786"/>
      <c r="AG172" s="786"/>
      <c r="AH172" s="786"/>
      <c r="AI172" s="786"/>
      <c r="AK172" s="409"/>
      <c r="AL172" s="798"/>
      <c r="AM172" s="786"/>
      <c r="AN172" s="786"/>
      <c r="AO172" s="798"/>
      <c r="AP172" s="798"/>
      <c r="AQ172" s="798"/>
      <c r="AR172" s="798"/>
      <c r="AS172" s="799"/>
      <c r="AT172" s="796"/>
    </row>
    <row r="173" spans="1:46" x14ac:dyDescent="0.2">
      <c r="A173" s="796"/>
      <c r="B173" s="804"/>
      <c r="C173" s="802"/>
      <c r="D173" s="802"/>
      <c r="E173" s="796"/>
      <c r="F173" s="796"/>
      <c r="G173" s="796"/>
      <c r="H173" s="796"/>
      <c r="I173" s="800"/>
      <c r="J173" s="796"/>
      <c r="K173" s="796"/>
      <c r="L173" s="796"/>
      <c r="M173" s="801"/>
      <c r="N173" s="796"/>
      <c r="O173" s="796"/>
      <c r="P173" s="796"/>
      <c r="Q173" s="798"/>
      <c r="R173" s="798"/>
      <c r="S173" s="798"/>
      <c r="T173" s="798"/>
      <c r="U173" s="796"/>
      <c r="V173" s="796"/>
      <c r="W173" s="796"/>
      <c r="X173" s="796"/>
      <c r="Y173" s="786"/>
      <c r="Z173" s="786"/>
      <c r="AA173" s="786"/>
      <c r="AB173" s="786"/>
      <c r="AC173" s="786"/>
      <c r="AD173" s="798"/>
      <c r="AE173" s="786"/>
      <c r="AF173" s="786"/>
      <c r="AG173" s="786"/>
      <c r="AH173" s="786"/>
      <c r="AI173" s="786"/>
      <c r="AK173" s="409"/>
      <c r="AL173" s="798"/>
      <c r="AM173" s="786"/>
      <c r="AN173" s="786"/>
      <c r="AO173" s="798"/>
      <c r="AP173" s="798"/>
      <c r="AQ173" s="798"/>
      <c r="AR173" s="798"/>
      <c r="AS173" s="799"/>
      <c r="AT173" s="796"/>
    </row>
    <row r="174" spans="1:46" s="425" customFormat="1" ht="19" x14ac:dyDescent="0.25">
      <c r="I174" s="525"/>
      <c r="Q174" s="426"/>
      <c r="R174" s="426"/>
      <c r="S174" s="426"/>
      <c r="T174" s="426"/>
      <c r="Y174" s="433"/>
      <c r="Z174" s="433"/>
      <c r="AA174" s="433"/>
      <c r="AB174" s="433"/>
      <c r="AC174" s="433"/>
      <c r="AD174" s="426"/>
      <c r="AE174" s="433"/>
      <c r="AF174" s="433"/>
      <c r="AG174" s="433"/>
      <c r="AH174" s="433"/>
      <c r="AI174" s="433"/>
      <c r="AJ174" s="433"/>
      <c r="AK174" s="429"/>
      <c r="AL174" s="429"/>
      <c r="AM174" s="429"/>
      <c r="AN174" s="429"/>
      <c r="AO174" s="426"/>
      <c r="AP174" s="426"/>
      <c r="AQ174" s="426"/>
      <c r="AR174" s="426"/>
      <c r="AS174" s="537"/>
    </row>
    <row r="175" spans="1:46" s="318" customFormat="1" x14ac:dyDescent="0.2">
      <c r="A175" s="396"/>
      <c r="B175" s="397"/>
      <c r="C175" s="398"/>
      <c r="D175" s="399"/>
      <c r="E175" s="400"/>
      <c r="F175" s="401"/>
      <c r="G175" s="401"/>
      <c r="H175" s="402"/>
      <c r="I175" s="583"/>
      <c r="J175" s="403"/>
      <c r="K175" s="403"/>
      <c r="L175" s="401"/>
      <c r="M175" s="401"/>
      <c r="N175" s="401"/>
      <c r="O175" s="404"/>
      <c r="P175" s="404"/>
      <c r="Q175" s="57"/>
      <c r="R175" s="57"/>
      <c r="S175" s="57"/>
      <c r="T175" s="57"/>
      <c r="U175" s="362"/>
      <c r="V175" s="23"/>
      <c r="W175" s="23"/>
      <c r="X175" s="23"/>
      <c r="Y175" s="368"/>
      <c r="Z175" s="368"/>
      <c r="AA175" s="368"/>
      <c r="AB175" s="368"/>
      <c r="AC175" s="368"/>
      <c r="AD175" s="534"/>
      <c r="AE175" s="366"/>
      <c r="AF175" s="366"/>
      <c r="AG175" s="366"/>
      <c r="AH175" s="366"/>
      <c r="AI175" s="366"/>
      <c r="AJ175" s="379"/>
      <c r="AK175" s="261"/>
      <c r="AL175" s="57"/>
      <c r="AM175" s="57"/>
      <c r="AN175" s="57"/>
      <c r="AO175" s="405"/>
      <c r="AP175" s="405"/>
      <c r="AQ175" s="534"/>
      <c r="AR175" s="534"/>
      <c r="AS175" s="534"/>
      <c r="AT175" s="534"/>
    </row>
    <row r="176" spans="1:46" s="416" customFormat="1" ht="20" x14ac:dyDescent="0.2">
      <c r="A176" s="388" t="s">
        <v>394</v>
      </c>
      <c r="B176" s="388"/>
      <c r="C176" s="511"/>
      <c r="D176" s="512"/>
      <c r="E176" s="512"/>
      <c r="F176" s="512"/>
      <c r="G176" s="512"/>
      <c r="H176" s="512"/>
      <c r="I176" s="526"/>
      <c r="J176" s="512"/>
      <c r="K176" s="512"/>
      <c r="L176" s="512"/>
      <c r="M176" s="512"/>
      <c r="N176" s="512"/>
      <c r="O176" s="512"/>
      <c r="P176" s="512"/>
      <c r="Q176" s="530"/>
      <c r="R176" s="530"/>
      <c r="S176" s="530"/>
      <c r="T176" s="530"/>
      <c r="U176" s="512"/>
      <c r="V176" s="512"/>
      <c r="W176" s="512"/>
      <c r="X176" s="512"/>
      <c r="Y176" s="513"/>
      <c r="Z176" s="513"/>
      <c r="AA176" s="513"/>
      <c r="AB176" s="513"/>
      <c r="AC176" s="513"/>
      <c r="AD176" s="414"/>
      <c r="AE176" s="422"/>
      <c r="AF176" s="422"/>
      <c r="AG176" s="422"/>
      <c r="AH176" s="422"/>
      <c r="AI176" s="422"/>
      <c r="AJ176" s="422"/>
      <c r="AK176" s="414"/>
      <c r="AL176" s="414"/>
      <c r="AM176" s="414"/>
      <c r="AN176" s="414"/>
      <c r="AO176" s="413"/>
      <c r="AP176" s="414"/>
      <c r="AQ176" s="414"/>
      <c r="AR176" s="414"/>
      <c r="AS176" s="414"/>
      <c r="AT176" s="414"/>
    </row>
    <row r="177" spans="1:46" s="8" customFormat="1" ht="34" x14ac:dyDescent="0.2">
      <c r="A177" s="9" cm="1">
        <f t="array" ref="A177:AT202">_xlfn._xlws.FILTER(cargo_table, intra_shipping_label=A176)</f>
        <v>1.2</v>
      </c>
      <c r="B177" s="38" t="str">
        <v>Drill</v>
      </c>
      <c r="C177" s="11" t="str">
        <v>Drill Hose</v>
      </c>
      <c r="D177" s="3" t="str">
        <v>Drill hose - 9 Spools - 348 cf / 3532 lbs each - Shipped from Italy - Do Not Deep Freeze</v>
      </c>
      <c r="E177" s="4">
        <v>92</v>
      </c>
      <c r="F177" s="4">
        <v>92</v>
      </c>
      <c r="G177" s="4">
        <v>70.5</v>
      </c>
      <c r="H177" s="4">
        <v>9</v>
      </c>
      <c r="I177" s="539">
        <v>346</v>
      </c>
      <c r="J177" s="4">
        <v>3114</v>
      </c>
      <c r="K177" s="4">
        <v>3532</v>
      </c>
      <c r="L177" s="4">
        <v>31788</v>
      </c>
      <c r="M177" s="4" t="str">
        <v>actual</v>
      </c>
      <c r="N177" s="4" t="str">
        <v>DNDF [-53C]</v>
      </c>
      <c r="O177" s="756" t="str">
        <v xml:space="preserve"> U. Wisc. Madison</v>
      </c>
      <c r="P177" s="758" t="str">
        <v>In McMurdo</v>
      </c>
      <c r="Q177" s="237">
        <v>44041</v>
      </c>
      <c r="R177" s="757">
        <v>44058</v>
      </c>
      <c r="S177" s="757" t="str">
        <v>In McMurdo</v>
      </c>
      <c r="T177" s="757" t="str">
        <v>Truck</v>
      </c>
      <c r="U177" s="742" t="str">
        <v>In McMurdo</v>
      </c>
      <c r="V177" s="742" t="str">
        <v>In McMurdo</v>
      </c>
      <c r="W177" s="742" t="str">
        <v>in McMurdo</v>
      </c>
      <c r="X177" s="742" t="str">
        <v>in McMurdo</v>
      </c>
      <c r="Y177" s="774" t="str">
        <v>-</v>
      </c>
      <c r="Z177" s="774" t="str">
        <v>-</v>
      </c>
      <c r="AA177" s="774" t="str">
        <v>-</v>
      </c>
      <c r="AB177" s="774" t="str">
        <v>-</v>
      </c>
      <c r="AC177" s="774" t="str">
        <v>-</v>
      </c>
      <c r="AD177" s="702" t="str">
        <v>In McMurdo</v>
      </c>
      <c r="AE177" s="363" t="str">
        <v>FY25 intra</v>
      </c>
      <c r="AF177" s="363" t="str">
        <v>FY25 SPOT 1</v>
      </c>
      <c r="AG177" s="316">
        <v>1.8</v>
      </c>
      <c r="AH177" s="316" t="str">
        <v>-</v>
      </c>
      <c r="AI177" s="316" t="str">
        <v>-</v>
      </c>
      <c r="AJ177" s="316" t="str">
        <v>-</v>
      </c>
      <c r="AK177" s="53">
        <v>45627</v>
      </c>
      <c r="AL177" s="53">
        <v>45641</v>
      </c>
      <c r="AM177" s="316">
        <v>14</v>
      </c>
      <c r="AN177" s="316">
        <v>1583</v>
      </c>
      <c r="AO177" s="316" t="str">
        <v>Yes</v>
      </c>
      <c r="AP177" s="53" t="str">
        <v>D. Gibson</v>
      </c>
      <c r="AQ177" s="53">
        <v>44477</v>
      </c>
      <c r="AR177" s="53" t="str">
        <v>I. McEwen</v>
      </c>
      <c r="AS177" s="53">
        <v>44630</v>
      </c>
      <c r="AT177" s="53" t="str">
        <v>Hose to be installed on Main Supply Hose Reel upon arrival at Pole</v>
      </c>
    </row>
    <row r="178" spans="1:46" s="8" customFormat="1" ht="34" x14ac:dyDescent="0.2">
      <c r="A178" s="9">
        <v>1.2</v>
      </c>
      <c r="B178" s="38" t="str">
        <v>Drill</v>
      </c>
      <c r="C178" s="11" t="str">
        <v>Drill Hose</v>
      </c>
      <c r="D178" s="3" t="str">
        <v>Drill hose - 3 Spools - 348 cf / 5001 lbs each - Shipped from PSL - Do Not Deep Freeze</v>
      </c>
      <c r="E178" s="4">
        <v>92</v>
      </c>
      <c r="F178" s="4">
        <v>92</v>
      </c>
      <c r="G178" s="4">
        <v>70.5</v>
      </c>
      <c r="H178" s="4">
        <v>3</v>
      </c>
      <c r="I178" s="539">
        <v>346</v>
      </c>
      <c r="J178" s="4">
        <v>1038</v>
      </c>
      <c r="K178" s="4">
        <v>5001</v>
      </c>
      <c r="L178" s="4">
        <v>15003</v>
      </c>
      <c r="M178" s="4" t="str">
        <v>actual</v>
      </c>
      <c r="N178" s="4" t="str">
        <v>DNDF [-53C]</v>
      </c>
      <c r="O178" s="756" t="str">
        <v xml:space="preserve"> U. Wisc. Madison</v>
      </c>
      <c r="P178" s="758" t="str">
        <v>In McMurdo</v>
      </c>
      <c r="Q178" s="237">
        <v>44154</v>
      </c>
      <c r="R178" s="757">
        <v>44211</v>
      </c>
      <c r="S178" s="757" t="str">
        <v>In McMurdo</v>
      </c>
      <c r="T178" s="757" t="str">
        <v>Truck</v>
      </c>
      <c r="U178" s="742" t="str">
        <v>In McMurdo</v>
      </c>
      <c r="V178" s="742" t="str">
        <v>In McMurdo</v>
      </c>
      <c r="W178" s="742" t="str">
        <v>in McMurdo</v>
      </c>
      <c r="X178" s="742" t="str">
        <v>in McMurdo</v>
      </c>
      <c r="Y178" s="774" t="str">
        <v>-</v>
      </c>
      <c r="Z178" s="774" t="str">
        <v>-</v>
      </c>
      <c r="AA178" s="774" t="str">
        <v>-</v>
      </c>
      <c r="AB178" s="774" t="str">
        <v>-</v>
      </c>
      <c r="AC178" s="774" t="str">
        <v>-</v>
      </c>
      <c r="AD178" s="702" t="str">
        <v>In McMurdo</v>
      </c>
      <c r="AE178" s="363" t="str">
        <v>FY25 intra</v>
      </c>
      <c r="AF178" s="363" t="str">
        <v>FY25 SPOT 1</v>
      </c>
      <c r="AG178" s="316">
        <v>0.6</v>
      </c>
      <c r="AH178" s="316" t="str">
        <v>-</v>
      </c>
      <c r="AI178" s="316" t="str">
        <v>-</v>
      </c>
      <c r="AJ178" s="316" t="str">
        <v>-</v>
      </c>
      <c r="AK178" s="53">
        <v>45627</v>
      </c>
      <c r="AL178" s="53">
        <v>45641</v>
      </c>
      <c r="AM178" s="316">
        <v>14</v>
      </c>
      <c r="AN178" s="316">
        <v>1430</v>
      </c>
      <c r="AO178" s="316" t="str">
        <v>Yes</v>
      </c>
      <c r="AP178" s="53" t="str">
        <v>D. Gibson</v>
      </c>
      <c r="AQ178" s="53">
        <v>44477</v>
      </c>
      <c r="AR178" s="53" t="str">
        <v>I. McEwen</v>
      </c>
      <c r="AS178" s="53">
        <v>44630</v>
      </c>
      <c r="AT178" s="53" t="str">
        <v>Hose to be installed on Main Supply Hose Reel upon arrival at Pole</v>
      </c>
    </row>
    <row r="179" spans="1:46" s="8" customFormat="1" ht="34" x14ac:dyDescent="0.2">
      <c r="A179" s="9">
        <v>1.2</v>
      </c>
      <c r="B179" s="38" t="str">
        <v>Drill</v>
      </c>
      <c r="C179" s="11" t="str">
        <v>Computing/controls components Shipment #3</v>
      </c>
      <c r="D179" s="3" t="str">
        <v>Computing and controls equipment (Sensor, motor drives and other sensitive electronics) - Do Not Freeze</v>
      </c>
      <c r="E179" s="4">
        <v>96</v>
      </c>
      <c r="F179" s="4">
        <v>48</v>
      </c>
      <c r="G179" s="4">
        <v>48</v>
      </c>
      <c r="H179" s="4">
        <v>1</v>
      </c>
      <c r="I179" s="539">
        <v>128</v>
      </c>
      <c r="J179" s="4">
        <v>128</v>
      </c>
      <c r="K179" s="4">
        <v>3000</v>
      </c>
      <c r="L179" s="4">
        <v>3000</v>
      </c>
      <c r="M179" s="4" t="str">
        <v>estimated</v>
      </c>
      <c r="N179" s="4" t="str">
        <v>DNF</v>
      </c>
      <c r="O179" s="756" t="str">
        <v xml:space="preserve"> U. Wisc. Madison</v>
      </c>
      <c r="P179" s="758">
        <v>31</v>
      </c>
      <c r="Q179" s="878">
        <v>45474</v>
      </c>
      <c r="R179" s="757">
        <v>45505</v>
      </c>
      <c r="S179" s="757" t="str">
        <v>UWM - PTH</v>
      </c>
      <c r="T179" s="757" t="str">
        <v>Truck</v>
      </c>
      <c r="U179" s="742" t="str">
        <v>PTH - CHC</v>
      </c>
      <c r="V179" s="742" t="str">
        <v>FY25 inter</v>
      </c>
      <c r="W179" s="742" t="str">
        <v>FY25 ComSur</v>
      </c>
      <c r="X179" s="742" t="str">
        <v>USAP Air</v>
      </c>
      <c r="Y179" s="774" t="str">
        <v>-</v>
      </c>
      <c r="Z179" s="774" t="str">
        <v>-</v>
      </c>
      <c r="AA179" s="774" t="str">
        <v>-</v>
      </c>
      <c r="AB179" s="774" t="str">
        <v>-</v>
      </c>
      <c r="AC179" s="774">
        <v>0.5</v>
      </c>
      <c r="AD179" s="702">
        <v>45597</v>
      </c>
      <c r="AE179" s="363" t="str">
        <v>FY25 intra</v>
      </c>
      <c r="AF179" s="363" t="str">
        <v>FY25 LC-130</v>
      </c>
      <c r="AG179" s="316" t="str">
        <v>-</v>
      </c>
      <c r="AH179" s="316" t="str">
        <v>-</v>
      </c>
      <c r="AI179" s="316" t="str">
        <v>-</v>
      </c>
      <c r="AJ179" s="316">
        <v>0.5</v>
      </c>
      <c r="AK179" s="53">
        <v>45611</v>
      </c>
      <c r="AL179" s="53">
        <v>45611</v>
      </c>
      <c r="AM179" s="316">
        <v>0</v>
      </c>
      <c r="AN179" s="316">
        <v>106</v>
      </c>
      <c r="AO179" s="316" t="str">
        <v>Yes</v>
      </c>
      <c r="AP179" s="53" t="str">
        <v>D. Gibson</v>
      </c>
      <c r="AQ179" s="53">
        <v>44477</v>
      </c>
      <c r="AR179" s="53" t="str">
        <v>I. McEwen</v>
      </c>
      <c r="AS179" s="53">
        <v>44477</v>
      </c>
      <c r="AT179" s="53" t="str">
        <v>-</v>
      </c>
    </row>
    <row r="180" spans="1:46" s="8" customFormat="1" ht="34" x14ac:dyDescent="0.2">
      <c r="A180" s="275">
        <v>1.2</v>
      </c>
      <c r="B180" s="276" t="str">
        <v>Drill</v>
      </c>
      <c r="C180" s="277" t="str">
        <v>Driller resupply/refit components -  8'  Container FS2</v>
      </c>
      <c r="D180" s="278" t="str">
        <v>8' Mini Milvan; Consumables/drill components</v>
      </c>
      <c r="E180" s="4">
        <v>96</v>
      </c>
      <c r="F180" s="4">
        <v>86</v>
      </c>
      <c r="G180" s="4">
        <v>96</v>
      </c>
      <c r="H180" s="4">
        <v>1</v>
      </c>
      <c r="I180" s="539">
        <v>459</v>
      </c>
      <c r="J180" s="4">
        <v>459</v>
      </c>
      <c r="K180" s="4">
        <v>6500</v>
      </c>
      <c r="L180" s="4">
        <v>6500</v>
      </c>
      <c r="M180" s="4" t="str">
        <v>estimated</v>
      </c>
      <c r="N180" s="4" t="str">
        <v>-</v>
      </c>
      <c r="O180" s="756" t="str">
        <v xml:space="preserve"> U. Wisc. Madison</v>
      </c>
      <c r="P180" s="758">
        <v>31</v>
      </c>
      <c r="Q180" s="878">
        <v>45474</v>
      </c>
      <c r="R180" s="757">
        <v>45505</v>
      </c>
      <c r="S180" s="757" t="str">
        <v>UWM - PTH</v>
      </c>
      <c r="T180" s="757" t="str">
        <v>Truck</v>
      </c>
      <c r="U180" s="742" t="str">
        <v>PTH - CHC</v>
      </c>
      <c r="V180" s="742" t="str">
        <v>FY25 inter</v>
      </c>
      <c r="W180" s="742" t="str">
        <v>FY25 ComSur</v>
      </c>
      <c r="X180" s="742" t="str">
        <v>USAP Air</v>
      </c>
      <c r="Y180" s="774" t="str">
        <v>-</v>
      </c>
      <c r="Z180" s="774" t="str">
        <v>-</v>
      </c>
      <c r="AA180" s="774" t="str">
        <v>-</v>
      </c>
      <c r="AB180" s="774" t="str">
        <v>-</v>
      </c>
      <c r="AC180" s="774">
        <v>1</v>
      </c>
      <c r="AD180" s="702">
        <v>45597</v>
      </c>
      <c r="AE180" s="363" t="str">
        <v>FY25 intra</v>
      </c>
      <c r="AF180" s="363" t="str">
        <v>FY25 LC-130</v>
      </c>
      <c r="AG180" s="316" t="str">
        <v>-</v>
      </c>
      <c r="AH180" s="316" t="str">
        <v>-</v>
      </c>
      <c r="AI180" s="316" t="str">
        <v>-</v>
      </c>
      <c r="AJ180" s="316">
        <v>1</v>
      </c>
      <c r="AK180" s="53">
        <v>45611</v>
      </c>
      <c r="AL180" s="53">
        <v>45611</v>
      </c>
      <c r="AM180" s="316">
        <v>0</v>
      </c>
      <c r="AN180" s="316">
        <v>106</v>
      </c>
      <c r="AO180" s="316" t="str">
        <v>Yes</v>
      </c>
      <c r="AP180" s="53" t="str">
        <v>D. Gibson</v>
      </c>
      <c r="AQ180" s="53">
        <v>44477</v>
      </c>
      <c r="AR180" s="53" t="str">
        <v>I. McEwen</v>
      </c>
      <c r="AS180" s="53">
        <v>44477</v>
      </c>
      <c r="AT180" s="53" t="str">
        <v>Items identifed in prior field season - 8' container moves with contents overland or by air</v>
      </c>
    </row>
    <row r="181" spans="1:46" s="8" customFormat="1" ht="34" x14ac:dyDescent="0.2">
      <c r="A181" s="9">
        <v>1.2</v>
      </c>
      <c r="B181" s="38" t="str">
        <v>Drill</v>
      </c>
      <c r="C181" s="11" t="str">
        <v>Drill refit components FS2</v>
      </c>
      <c r="D181" s="3" t="str">
        <v>Single crate. Consumables/drill refit components - Do Not Freeze</v>
      </c>
      <c r="E181" s="4">
        <v>96</v>
      </c>
      <c r="F181" s="4">
        <v>48</v>
      </c>
      <c r="G181" s="4">
        <v>48</v>
      </c>
      <c r="H181" s="4">
        <v>1</v>
      </c>
      <c r="I181" s="539">
        <v>128</v>
      </c>
      <c r="J181" s="4">
        <v>128</v>
      </c>
      <c r="K181" s="4">
        <v>3000</v>
      </c>
      <c r="L181" s="4">
        <v>3000</v>
      </c>
      <c r="M181" s="4" t="str">
        <v>estimated</v>
      </c>
      <c r="N181" s="4" t="str">
        <v>DNF</v>
      </c>
      <c r="O181" s="756" t="str">
        <v xml:space="preserve"> U. Wisc. Madison</v>
      </c>
      <c r="P181" s="758">
        <v>31</v>
      </c>
      <c r="Q181" s="878">
        <v>45474</v>
      </c>
      <c r="R181" s="757">
        <v>45505</v>
      </c>
      <c r="S181" s="757" t="str">
        <v>UWM - PTH</v>
      </c>
      <c r="T181" s="757" t="str">
        <v>Truck</v>
      </c>
      <c r="U181" s="742" t="str">
        <v>PTH - CHC</v>
      </c>
      <c r="V181" s="742" t="str">
        <v>FY25 inter</v>
      </c>
      <c r="W181" s="742" t="str">
        <v>FY25 Comsur</v>
      </c>
      <c r="X181" s="742" t="str">
        <v>USAP Air</v>
      </c>
      <c r="Y181" s="774" t="str">
        <v>-</v>
      </c>
      <c r="Z181" s="774" t="str">
        <v>-</v>
      </c>
      <c r="AA181" s="774" t="str">
        <v>-</v>
      </c>
      <c r="AB181" s="774" t="str">
        <v>-</v>
      </c>
      <c r="AC181" s="774">
        <v>0.5</v>
      </c>
      <c r="AD181" s="702">
        <v>45597</v>
      </c>
      <c r="AE181" s="363" t="str">
        <v>FY25 intra</v>
      </c>
      <c r="AF181" s="363" t="str">
        <v>FY25 LC-130</v>
      </c>
      <c r="AG181" s="316" t="str">
        <v>-</v>
      </c>
      <c r="AH181" s="316" t="str">
        <v>-</v>
      </c>
      <c r="AI181" s="316" t="str">
        <v>-</v>
      </c>
      <c r="AJ181" s="316">
        <v>0.5</v>
      </c>
      <c r="AK181" s="53">
        <v>45611</v>
      </c>
      <c r="AL181" s="53">
        <v>45611</v>
      </c>
      <c r="AM181" s="316">
        <v>0</v>
      </c>
      <c r="AN181" s="316">
        <v>106</v>
      </c>
      <c r="AO181" s="316" t="str">
        <v>Yes</v>
      </c>
      <c r="AP181" s="53" t="str">
        <v>D. Gibson</v>
      </c>
      <c r="AQ181" s="53">
        <v>44477</v>
      </c>
      <c r="AR181" s="53" t="str">
        <v>I. McEwen</v>
      </c>
      <c r="AS181" s="53">
        <v>44477</v>
      </c>
      <c r="AT181" s="53" t="str">
        <v>Items identifed in prior field season</v>
      </c>
    </row>
    <row r="182" spans="1:46" s="8" customFormat="1" ht="34" x14ac:dyDescent="0.2">
      <c r="A182" s="9">
        <v>1.2</v>
      </c>
      <c r="B182" s="38" t="str">
        <v>Drill</v>
      </c>
      <c r="C182" s="11" t="str">
        <v>Load member cable reel [placeholder, may not be required]</v>
      </c>
      <c r="D182" s="3" t="str">
        <v>Cable Reel used to deploy downhole load member during string installation</v>
      </c>
      <c r="E182" s="4">
        <v>84</v>
      </c>
      <c r="F182" s="4">
        <v>60</v>
      </c>
      <c r="G182" s="4">
        <v>48</v>
      </c>
      <c r="H182" s="4">
        <v>1</v>
      </c>
      <c r="I182" s="539">
        <v>140</v>
      </c>
      <c r="J182" s="4">
        <v>140</v>
      </c>
      <c r="K182" s="4">
        <v>3800</v>
      </c>
      <c r="L182" s="4">
        <v>3800</v>
      </c>
      <c r="M182" s="4" t="str">
        <v>estimated</v>
      </c>
      <c r="N182" s="4" t="str">
        <v>-</v>
      </c>
      <c r="O182" s="756" t="str">
        <v xml:space="preserve"> U. Wisc. Madison</v>
      </c>
      <c r="P182" s="758">
        <v>136</v>
      </c>
      <c r="Q182" s="878">
        <v>45078</v>
      </c>
      <c r="R182" s="757">
        <v>45214</v>
      </c>
      <c r="S182" s="757" t="str">
        <v>UWM - PTH</v>
      </c>
      <c r="T182" s="757" t="str">
        <v>Truck</v>
      </c>
      <c r="U182" s="742" t="str">
        <v>PTH - MCM</v>
      </c>
      <c r="V182" s="742" t="str">
        <v>FY24 inter</v>
      </c>
      <c r="W182" s="742" t="str">
        <v>FY24 Vessel</v>
      </c>
      <c r="X182" s="742" t="str">
        <v>USAP Vessel</v>
      </c>
      <c r="Y182" s="774" t="str">
        <v>-</v>
      </c>
      <c r="Z182" s="774" t="str">
        <v>-</v>
      </c>
      <c r="AA182" s="774" t="str">
        <v>-</v>
      </c>
      <c r="AB182" s="774">
        <v>0.25</v>
      </c>
      <c r="AC182" s="774" t="str">
        <v>-</v>
      </c>
      <c r="AD182" s="702">
        <v>45328</v>
      </c>
      <c r="AE182" s="363" t="str">
        <v>FY25 intra</v>
      </c>
      <c r="AF182" s="363" t="str">
        <v>FY25 SPOT 2</v>
      </c>
      <c r="AG182" s="316" t="str">
        <v>-</v>
      </c>
      <c r="AH182" s="316">
        <v>0.25</v>
      </c>
      <c r="AI182" s="316" t="str">
        <v>-</v>
      </c>
      <c r="AJ182" s="316" t="str">
        <v>-</v>
      </c>
      <c r="AK182" s="53">
        <v>45658</v>
      </c>
      <c r="AL182" s="53">
        <v>45809</v>
      </c>
      <c r="AM182" s="316">
        <v>151</v>
      </c>
      <c r="AN182" s="316">
        <v>595</v>
      </c>
      <c r="AO182" s="316" t="str">
        <v>Yes</v>
      </c>
      <c r="AP182" s="53" t="str">
        <v>D. Gibson</v>
      </c>
      <c r="AQ182" s="53">
        <v>44477</v>
      </c>
      <c r="AR182" s="53" t="str">
        <v>I. McEwen</v>
      </c>
      <c r="AS182" s="53">
        <v>44477</v>
      </c>
      <c r="AT182" s="53" t="str">
        <v>Required onsite in FW YR 2 for integration - recent addition, still in development</v>
      </c>
    </row>
    <row r="183" spans="1:46" s="8" customFormat="1" ht="34" x14ac:dyDescent="0.2">
      <c r="A183" s="9">
        <v>1.4</v>
      </c>
      <c r="B183" s="38" t="str">
        <v>Installation</v>
      </c>
      <c r="C183" s="11" t="str">
        <v>ICL power and timing electronics</v>
      </c>
      <c r="D183" s="3" t="str">
        <v>1 crate containing rackmount electronics for power and timing systems - Do Not Freeze</v>
      </c>
      <c r="E183" s="4">
        <v>96</v>
      </c>
      <c r="F183" s="4">
        <v>48</v>
      </c>
      <c r="G183" s="4">
        <v>48</v>
      </c>
      <c r="H183" s="4">
        <v>1</v>
      </c>
      <c r="I183" s="539">
        <v>128</v>
      </c>
      <c r="J183" s="4">
        <v>128</v>
      </c>
      <c r="K183" s="4">
        <v>600</v>
      </c>
      <c r="L183" s="4">
        <v>600</v>
      </c>
      <c r="M183" s="4" t="str">
        <v>estimated</v>
      </c>
      <c r="N183" s="4" t="str">
        <v>DNF</v>
      </c>
      <c r="O183" s="756" t="str">
        <v xml:space="preserve"> U. Wisc. Madison</v>
      </c>
      <c r="P183" s="758">
        <v>462</v>
      </c>
      <c r="Q183" s="878">
        <v>45043</v>
      </c>
      <c r="R183" s="757">
        <v>45505</v>
      </c>
      <c r="S183" s="757" t="str">
        <v>UWM - PTH</v>
      </c>
      <c r="T183" s="757" t="str">
        <v>Truck</v>
      </c>
      <c r="U183" s="742" t="str">
        <v>PTH - CHC</v>
      </c>
      <c r="V183" s="742" t="str">
        <v>FY25 inter</v>
      </c>
      <c r="W183" s="742" t="str">
        <v>FY25 ComSur</v>
      </c>
      <c r="X183" s="742" t="str">
        <v>USAP Air</v>
      </c>
      <c r="Y183" s="774" t="str">
        <v>-</v>
      </c>
      <c r="Z183" s="774" t="str">
        <v>-</v>
      </c>
      <c r="AA183" s="774" t="str">
        <v>-</v>
      </c>
      <c r="AB183" s="774" t="str">
        <v>-</v>
      </c>
      <c r="AC183" s="774">
        <v>0.25</v>
      </c>
      <c r="AD183" s="702">
        <v>45597</v>
      </c>
      <c r="AE183" s="363" t="str">
        <v>FY25 intra</v>
      </c>
      <c r="AF183" s="363" t="str">
        <v>FY25 LC-130</v>
      </c>
      <c r="AG183" s="316" t="str">
        <v>-</v>
      </c>
      <c r="AH183" s="316" t="str">
        <v>-</v>
      </c>
      <c r="AI183" s="316" t="str">
        <v>-</v>
      </c>
      <c r="AJ183" s="316">
        <v>0.25</v>
      </c>
      <c r="AK183" s="53">
        <v>45626</v>
      </c>
      <c r="AL183" s="53">
        <v>45627</v>
      </c>
      <c r="AM183" s="316">
        <v>1</v>
      </c>
      <c r="AN183" s="316">
        <v>122</v>
      </c>
      <c r="AO183" s="316" t="str">
        <v>Yes</v>
      </c>
      <c r="AP183" s="53" t="str">
        <v>J. Kelley</v>
      </c>
      <c r="AQ183" s="53">
        <v>44481</v>
      </c>
      <c r="AR183" s="53" t="str">
        <v>D. Tosi</v>
      </c>
      <c r="AS183" s="53">
        <v>44662</v>
      </c>
      <c r="AT183" s="53" t="str">
        <v>-</v>
      </c>
    </row>
    <row r="184" spans="1:46" s="8" customFormat="1" ht="34" x14ac:dyDescent="0.2">
      <c r="A184" s="275">
        <v>1.4</v>
      </c>
      <c r="B184" s="276" t="str">
        <v>Installation</v>
      </c>
      <c r="C184" s="277" t="str">
        <v>ICL patch cables and patch panels</v>
      </c>
      <c r="D184" s="278" t="str">
        <v>Standard vessel shipping - can overwinter in McM if shipped earlier - Do Not  Deep Freeze</v>
      </c>
      <c r="E184" s="4">
        <v>96</v>
      </c>
      <c r="F184" s="4">
        <v>48</v>
      </c>
      <c r="G184" s="4">
        <v>48</v>
      </c>
      <c r="H184" s="4">
        <v>1</v>
      </c>
      <c r="I184" s="539">
        <v>128</v>
      </c>
      <c r="J184" s="4">
        <v>128</v>
      </c>
      <c r="K184" s="4">
        <v>1200</v>
      </c>
      <c r="L184" s="4">
        <v>1200</v>
      </c>
      <c r="M184" s="4" t="str">
        <v>estimated</v>
      </c>
      <c r="N184" s="4" t="str">
        <v>DNDF [TBD]</v>
      </c>
      <c r="O184" s="756" t="str">
        <v xml:space="preserve"> U. Wisc. Madison</v>
      </c>
      <c r="P184" s="758">
        <v>624</v>
      </c>
      <c r="Q184" s="878">
        <v>44881</v>
      </c>
      <c r="R184" s="757">
        <v>45505</v>
      </c>
      <c r="S184" s="757" t="str">
        <v>UWM - PTH</v>
      </c>
      <c r="T184" s="757" t="str">
        <v>Truck</v>
      </c>
      <c r="U184" s="742" t="str">
        <v>PTH - CHC</v>
      </c>
      <c r="V184" s="742" t="str">
        <v>FY25 inter</v>
      </c>
      <c r="W184" s="742" t="str">
        <v>FY25 ComSur</v>
      </c>
      <c r="X184" s="742" t="str">
        <v>USAP Air</v>
      </c>
      <c r="Y184" s="774" t="str">
        <v>-</v>
      </c>
      <c r="Z184" s="774" t="str">
        <v>-</v>
      </c>
      <c r="AA184" s="774" t="str">
        <v>-</v>
      </c>
      <c r="AB184" s="774" t="str">
        <v>-</v>
      </c>
      <c r="AC184" s="774">
        <v>0.25</v>
      </c>
      <c r="AD184" s="702">
        <v>45597</v>
      </c>
      <c r="AE184" s="363" t="str">
        <v>FY25 intra</v>
      </c>
      <c r="AF184" s="363" t="str">
        <v>FY25 LC-130</v>
      </c>
      <c r="AG184" s="316" t="str">
        <v>-</v>
      </c>
      <c r="AH184" s="316" t="str">
        <v>-</v>
      </c>
      <c r="AI184" s="316" t="str">
        <v>-</v>
      </c>
      <c r="AJ184" s="316">
        <v>0.25</v>
      </c>
      <c r="AK184" s="53">
        <v>45626</v>
      </c>
      <c r="AL184" s="53">
        <v>45627</v>
      </c>
      <c r="AM184" s="316">
        <v>1</v>
      </c>
      <c r="AN184" s="316">
        <v>122</v>
      </c>
      <c r="AO184" s="316" t="str">
        <v>Yes</v>
      </c>
      <c r="AP184" s="53" t="str">
        <v>J. Kelley</v>
      </c>
      <c r="AQ184" s="53">
        <v>44481</v>
      </c>
      <c r="AR184" s="53" t="str">
        <v>D. Tosi</v>
      </c>
      <c r="AS184" s="53">
        <v>44662</v>
      </c>
      <c r="AT184" s="53" t="str">
        <v xml:space="preserve">(*) storage in McMurdo pending low temperature test </v>
      </c>
    </row>
    <row r="185" spans="1:46" s="8" customFormat="1" ht="17" x14ac:dyDescent="0.2">
      <c r="A185" s="9">
        <v>1.2</v>
      </c>
      <c r="B185" s="38" t="str">
        <v>Installation</v>
      </c>
      <c r="C185" s="11" t="str">
        <v xml:space="preserve">Installation Hardware  87-93 </v>
      </c>
      <c r="D185" s="3" t="str">
        <v>Installation hardware</v>
      </c>
      <c r="E185" s="4">
        <v>96</v>
      </c>
      <c r="F185" s="4">
        <v>48</v>
      </c>
      <c r="G185" s="4">
        <v>48</v>
      </c>
      <c r="H185" s="4">
        <v>7</v>
      </c>
      <c r="I185" s="539">
        <v>128</v>
      </c>
      <c r="J185" s="4">
        <v>896</v>
      </c>
      <c r="K185" s="4">
        <v>1000</v>
      </c>
      <c r="L185" s="4">
        <v>7000</v>
      </c>
      <c r="M185" s="4" t="str">
        <v>estimated</v>
      </c>
      <c r="N185" s="4" t="str">
        <v>-</v>
      </c>
      <c r="O185" s="756" t="str">
        <v xml:space="preserve"> U. Wisc. Madison</v>
      </c>
      <c r="P185" s="758">
        <v>97</v>
      </c>
      <c r="Q185" s="878">
        <v>45117</v>
      </c>
      <c r="R185" s="757">
        <v>45214</v>
      </c>
      <c r="S185" s="757" t="str">
        <v>UWM - PTH</v>
      </c>
      <c r="T185" s="757" t="str">
        <v>Truck</v>
      </c>
      <c r="U185" s="742" t="str">
        <v>PTH - MCM</v>
      </c>
      <c r="V185" s="742" t="str">
        <v>FY24 inter</v>
      </c>
      <c r="W185" s="742" t="str">
        <v>FY24 Vessel</v>
      </c>
      <c r="X185" s="742" t="str">
        <v>USAP Vessel</v>
      </c>
      <c r="Y185" s="774" t="str">
        <v>-</v>
      </c>
      <c r="Z185" s="774" t="str">
        <v>-</v>
      </c>
      <c r="AA185" s="774">
        <v>2</v>
      </c>
      <c r="AB185" s="774" t="str">
        <v>-</v>
      </c>
      <c r="AC185" s="774" t="str">
        <v>-</v>
      </c>
      <c r="AD185" s="702">
        <v>45328</v>
      </c>
      <c r="AE185" s="363" t="str">
        <v>FY25 intra</v>
      </c>
      <c r="AF185" s="363" t="str">
        <v>FY25 SPOT 2</v>
      </c>
      <c r="AG185" s="316" t="str">
        <v>-</v>
      </c>
      <c r="AH185" s="316">
        <v>0.1</v>
      </c>
      <c r="AI185" s="316" t="str">
        <v>-</v>
      </c>
      <c r="AJ185" s="316" t="str">
        <v>-</v>
      </c>
      <c r="AK185" s="53">
        <v>45658</v>
      </c>
      <c r="AL185" s="53">
        <v>45979</v>
      </c>
      <c r="AM185" s="316">
        <v>321</v>
      </c>
      <c r="AN185" s="316">
        <v>765</v>
      </c>
      <c r="AO185" s="316" t="str">
        <v>Yes</v>
      </c>
      <c r="AP185" s="53" t="str">
        <v>D. Tosi</v>
      </c>
      <c r="AQ185" s="53">
        <v>44461</v>
      </c>
      <c r="AR185" s="53" t="str">
        <v>I. McEwen</v>
      </c>
      <c r="AS185" s="53">
        <v>44461</v>
      </c>
      <c r="AT185" s="53" t="str">
        <v>-</v>
      </c>
    </row>
    <row r="186" spans="1:46" s="8" customFormat="1" ht="17" x14ac:dyDescent="0.2">
      <c r="A186" s="9">
        <v>1.2</v>
      </c>
      <c r="B186" s="38" t="str">
        <v>Installation</v>
      </c>
      <c r="C186" s="11" t="str">
        <v xml:space="preserve">Installation Weights  87-93 </v>
      </c>
      <c r="D186" s="3" t="str">
        <v>Installation weights</v>
      </c>
      <c r="E186" s="4">
        <v>36</v>
      </c>
      <c r="F186" s="4">
        <v>24</v>
      </c>
      <c r="G186" s="4">
        <v>24</v>
      </c>
      <c r="H186" s="4">
        <v>7</v>
      </c>
      <c r="I186" s="539">
        <v>12</v>
      </c>
      <c r="J186" s="4">
        <v>84</v>
      </c>
      <c r="K186" s="4">
        <v>786</v>
      </c>
      <c r="L186" s="4">
        <v>5502</v>
      </c>
      <c r="M186" s="4" t="str">
        <v>estimated</v>
      </c>
      <c r="N186" s="4" t="str">
        <v>-</v>
      </c>
      <c r="O186" s="756" t="str">
        <v xml:space="preserve"> U. Wisc. Madison</v>
      </c>
      <c r="P186" s="758">
        <v>110</v>
      </c>
      <c r="Q186" s="878">
        <v>45104</v>
      </c>
      <c r="R186" s="757">
        <v>45214</v>
      </c>
      <c r="S186" s="757" t="str">
        <v>UWM - PTH</v>
      </c>
      <c r="T186" s="757" t="str">
        <v>Truck</v>
      </c>
      <c r="U186" s="742" t="str">
        <v>PTH - MCM</v>
      </c>
      <c r="V186" s="742" t="str">
        <v>FY24 inter</v>
      </c>
      <c r="W186" s="742" t="str">
        <v>FY24 Vessel</v>
      </c>
      <c r="X186" s="742" t="str">
        <v>USAP Vessel</v>
      </c>
      <c r="Y186" s="774" t="str">
        <v>-</v>
      </c>
      <c r="Z186" s="774" t="str">
        <v>-</v>
      </c>
      <c r="AA186" s="774">
        <v>1</v>
      </c>
      <c r="AB186" s="774" t="str">
        <v>-</v>
      </c>
      <c r="AC186" s="774" t="str">
        <v>-</v>
      </c>
      <c r="AD186" s="702">
        <v>45328</v>
      </c>
      <c r="AE186" s="363" t="str">
        <v>FY25 intra</v>
      </c>
      <c r="AF186" s="363" t="str">
        <v>FY25 SPOT 2</v>
      </c>
      <c r="AG186" s="316" t="str">
        <v>-</v>
      </c>
      <c r="AH186" s="316">
        <v>0.1</v>
      </c>
      <c r="AI186" s="316" t="str">
        <v>-</v>
      </c>
      <c r="AJ186" s="316" t="str">
        <v>-</v>
      </c>
      <c r="AK186" s="53">
        <v>45658</v>
      </c>
      <c r="AL186" s="53">
        <v>45979</v>
      </c>
      <c r="AM186" s="316">
        <v>321</v>
      </c>
      <c r="AN186" s="316">
        <v>765</v>
      </c>
      <c r="AO186" s="316" t="str">
        <v>Yes</v>
      </c>
      <c r="AP186" s="53" t="str">
        <v>D. Tosi</v>
      </c>
      <c r="AQ186" s="53">
        <v>44461</v>
      </c>
      <c r="AR186" s="53" t="str">
        <v>I. McEwen</v>
      </c>
      <c r="AS186" s="53">
        <v>44461</v>
      </c>
      <c r="AT186" s="53" t="str">
        <v>-</v>
      </c>
    </row>
    <row r="187" spans="1:46" s="8" customFormat="1" ht="34" x14ac:dyDescent="0.2">
      <c r="A187" s="9">
        <v>1.2</v>
      </c>
      <c r="B187" s="38" t="str">
        <v>Installation</v>
      </c>
      <c r="C187" s="11" t="str">
        <v>Misc. Science Equipment - FS2 (FY25)</v>
      </c>
      <c r="D187" s="3" t="str">
        <v xml:space="preserve">Scientific and test equipment (SPAT, DCM, IME, Paros et al.) - Do Not Freeze </v>
      </c>
      <c r="E187" s="4">
        <v>48</v>
      </c>
      <c r="F187" s="4">
        <v>48</v>
      </c>
      <c r="G187" s="4">
        <v>48</v>
      </c>
      <c r="H187" s="4">
        <v>1</v>
      </c>
      <c r="I187" s="539">
        <v>64</v>
      </c>
      <c r="J187" s="4">
        <v>64</v>
      </c>
      <c r="K187" s="4">
        <v>1500</v>
      </c>
      <c r="L187" s="4">
        <v>1500</v>
      </c>
      <c r="M187" s="4" t="str">
        <v>estimated</v>
      </c>
      <c r="N187" s="4" t="str">
        <v>DNF</v>
      </c>
      <c r="O187" s="756" t="str">
        <v xml:space="preserve"> U. Wisc. Madison</v>
      </c>
      <c r="P187" s="758">
        <v>50</v>
      </c>
      <c r="Q187" s="878">
        <v>45455</v>
      </c>
      <c r="R187" s="757">
        <v>45505</v>
      </c>
      <c r="S187" s="757" t="str">
        <v>UWM - PTH</v>
      </c>
      <c r="T187" s="757" t="str">
        <v>Truck</v>
      </c>
      <c r="U187" s="742" t="str">
        <v>PTH - CHC</v>
      </c>
      <c r="V187" s="742" t="str">
        <v>FY25 inter</v>
      </c>
      <c r="W187" s="742" t="str">
        <v>FY25 ComSur</v>
      </c>
      <c r="X187" s="742" t="str">
        <v>USAP Air</v>
      </c>
      <c r="Y187" s="774" t="str">
        <v>-</v>
      </c>
      <c r="Z187" s="774" t="str">
        <v>-</v>
      </c>
      <c r="AA187" s="774" t="str">
        <v>-</v>
      </c>
      <c r="AB187" s="774" t="str">
        <v>-</v>
      </c>
      <c r="AC187" s="774">
        <v>0.25</v>
      </c>
      <c r="AD187" s="702">
        <v>45597</v>
      </c>
      <c r="AE187" s="363" t="str">
        <v>FY25 intra</v>
      </c>
      <c r="AF187" s="363" t="str">
        <v>FY25 LC-130</v>
      </c>
      <c r="AG187" s="316" t="str">
        <v>-</v>
      </c>
      <c r="AH187" s="316" t="str">
        <v>-</v>
      </c>
      <c r="AI187" s="316" t="str">
        <v>-</v>
      </c>
      <c r="AJ187" s="316">
        <v>0.25</v>
      </c>
      <c r="AK187" s="53">
        <v>45626</v>
      </c>
      <c r="AL187" s="53">
        <v>45627</v>
      </c>
      <c r="AM187" s="316">
        <v>1</v>
      </c>
      <c r="AN187" s="316">
        <v>122</v>
      </c>
      <c r="AO187" s="316" t="str">
        <v>Yes</v>
      </c>
      <c r="AP187" s="53" t="str">
        <v>T. Karg</v>
      </c>
      <c r="AQ187" s="53">
        <v>44477</v>
      </c>
      <c r="AR187" s="53" t="str">
        <v>D. Tosi</v>
      </c>
      <c r="AS187" s="53">
        <v>44477</v>
      </c>
      <c r="AT187" s="53" t="str">
        <v>-</v>
      </c>
    </row>
    <row r="188" spans="1:46" s="8" customFormat="1" ht="34" x14ac:dyDescent="0.2">
      <c r="A188" s="275">
        <v>1.5</v>
      </c>
      <c r="B188" s="276" t="str">
        <v>Installation</v>
      </c>
      <c r="C188" s="277" t="str">
        <v>Calibration/Special Devices 87-88</v>
      </c>
      <c r="D188" s="278" t="str">
        <v>3+1 PencilBeams from UW, 2+1 pDOM and 1+1 LOMs - Do Not Deep Freeze</v>
      </c>
      <c r="E188" s="4">
        <v>58</v>
      </c>
      <c r="F188" s="4">
        <v>38</v>
      </c>
      <c r="G188" s="4">
        <v>41</v>
      </c>
      <c r="H188" s="4">
        <v>1</v>
      </c>
      <c r="I188" s="539">
        <v>53</v>
      </c>
      <c r="J188" s="4">
        <v>53</v>
      </c>
      <c r="K188" s="4">
        <v>836</v>
      </c>
      <c r="L188" s="4">
        <v>836</v>
      </c>
      <c r="M188" s="4" t="str">
        <v>estimated</v>
      </c>
      <c r="N188" s="4" t="str">
        <v>DNDF [-40C]</v>
      </c>
      <c r="O188" s="756" t="str">
        <v xml:space="preserve"> U. Wisc. Madison</v>
      </c>
      <c r="P188" s="758">
        <v>2</v>
      </c>
      <c r="Q188" s="878">
        <v>45503</v>
      </c>
      <c r="R188" s="757">
        <v>45505</v>
      </c>
      <c r="S188" s="757" t="str">
        <v>UWM - PTH</v>
      </c>
      <c r="T188" s="757" t="str">
        <v>Truck</v>
      </c>
      <c r="U188" s="742" t="str">
        <v>PTH - CHC</v>
      </c>
      <c r="V188" s="742" t="str">
        <v>FY25 inter</v>
      </c>
      <c r="W188" s="742" t="str">
        <v>FY25 ComSur</v>
      </c>
      <c r="X188" s="742" t="str">
        <v>USAP Air</v>
      </c>
      <c r="Y188" s="774" t="str">
        <v>-</v>
      </c>
      <c r="Z188" s="774" t="str">
        <v>-</v>
      </c>
      <c r="AA188" s="774" t="str">
        <v>-</v>
      </c>
      <c r="AB188" s="774" t="str">
        <v>-</v>
      </c>
      <c r="AC188" s="774">
        <v>0.25</v>
      </c>
      <c r="AD188" s="702">
        <v>45597</v>
      </c>
      <c r="AE188" s="363" t="str">
        <v>FY25 intra</v>
      </c>
      <c r="AF188" s="363" t="str">
        <v>FY25 LC-130</v>
      </c>
      <c r="AG188" s="316" t="str">
        <v>-</v>
      </c>
      <c r="AH188" s="316" t="str">
        <v>-</v>
      </c>
      <c r="AI188" s="316" t="str">
        <v>-</v>
      </c>
      <c r="AJ188" s="316">
        <v>0.25</v>
      </c>
      <c r="AK188" s="53">
        <v>45641</v>
      </c>
      <c r="AL188" s="53">
        <v>45654</v>
      </c>
      <c r="AM188" s="316">
        <v>13</v>
      </c>
      <c r="AN188" s="316">
        <v>149</v>
      </c>
      <c r="AO188" s="316" t="str">
        <v>Yes</v>
      </c>
      <c r="AP188" s="53" t="str">
        <v>D. Williams</v>
      </c>
      <c r="AQ188" s="53">
        <v>44482</v>
      </c>
      <c r="AR188" s="53" t="str">
        <v>D. Tosi</v>
      </c>
      <c r="AS188" s="53">
        <v>44482</v>
      </c>
      <c r="AT188" s="53" t="str">
        <v>-</v>
      </c>
    </row>
    <row r="189" spans="1:46" s="8" customFormat="1" ht="68" x14ac:dyDescent="0.2">
      <c r="A189" s="9">
        <v>1.3</v>
      </c>
      <c r="B189" s="38" t="str">
        <v>Installation</v>
      </c>
      <c r="C189" s="11" t="str">
        <v>Special Devices 87-88</v>
      </c>
      <c r="D189" s="3" t="str">
        <v>Special devices for 2 strings from UW (4+1 Radio Pulsers (all strings) 1+1 Radio Receivers, 3+1 FOM)  - Do Not Deep Freeze</v>
      </c>
      <c r="E189" s="4">
        <v>63</v>
      </c>
      <c r="F189" s="4">
        <v>40</v>
      </c>
      <c r="G189" s="4">
        <v>42</v>
      </c>
      <c r="H189" s="4">
        <v>1</v>
      </c>
      <c r="I189" s="539">
        <v>62</v>
      </c>
      <c r="J189" s="4">
        <v>62</v>
      </c>
      <c r="K189" s="4">
        <v>677</v>
      </c>
      <c r="L189" s="4">
        <v>677</v>
      </c>
      <c r="M189" s="4" t="str">
        <v>preliminary</v>
      </c>
      <c r="N189" s="4" t="str">
        <v>DNDF [-40C]</v>
      </c>
      <c r="O189" s="756" t="str">
        <v>UWM/Kansas</v>
      </c>
      <c r="P189" s="758">
        <v>2</v>
      </c>
      <c r="Q189" s="878">
        <v>45503</v>
      </c>
      <c r="R189" s="757">
        <v>45505</v>
      </c>
      <c r="S189" s="757" t="str">
        <v>UWM - PTH</v>
      </c>
      <c r="T189" s="757" t="str">
        <v>Truck</v>
      </c>
      <c r="U189" s="742" t="str">
        <v>PTH - CHC</v>
      </c>
      <c r="V189" s="742" t="str">
        <v>FY25 inter</v>
      </c>
      <c r="W189" s="742" t="str">
        <v>FY25 ComSur</v>
      </c>
      <c r="X189" s="742" t="str">
        <v>USAP Air</v>
      </c>
      <c r="Y189" s="774" t="str">
        <v>-</v>
      </c>
      <c r="Z189" s="774" t="str">
        <v>-</v>
      </c>
      <c r="AA189" s="774" t="str">
        <v>-</v>
      </c>
      <c r="AB189" s="774" t="str">
        <v>-</v>
      </c>
      <c r="AC189" s="774">
        <v>0.25</v>
      </c>
      <c r="AD189" s="702">
        <v>45597</v>
      </c>
      <c r="AE189" s="363" t="str">
        <v>FY25 intra</v>
      </c>
      <c r="AF189" s="363" t="str">
        <v>FY25 LC-130</v>
      </c>
      <c r="AG189" s="316" t="str">
        <v>-</v>
      </c>
      <c r="AH189" s="316" t="str">
        <v>-</v>
      </c>
      <c r="AI189" s="316" t="str">
        <v>-</v>
      </c>
      <c r="AJ189" s="316">
        <v>0.25</v>
      </c>
      <c r="AK189" s="53">
        <v>45641</v>
      </c>
      <c r="AL189" s="53">
        <v>45654</v>
      </c>
      <c r="AM189" s="316">
        <v>13</v>
      </c>
      <c r="AN189" s="316">
        <v>149</v>
      </c>
      <c r="AO189" s="316" t="str">
        <v>Yes</v>
      </c>
      <c r="AP189" s="53" t="str">
        <v>S. Boeser</v>
      </c>
      <c r="AQ189" s="53">
        <v>44482</v>
      </c>
      <c r="AR189" s="53" t="str">
        <v>D. Tosi</v>
      </c>
      <c r="AS189" s="53">
        <v>44482</v>
      </c>
      <c r="AT189" s="53" t="str">
        <v>4+1 Radio Pulser, weight  50 kg. 1+1 Radio receiver, assume mDOM weight, 3+1 FOM (assume mDOM weight) + 2ftx2ftx4ft FOM box (50 lbs).  Special Devices from UW. FTS, seismometer missing from estimate.  250 lbs crate estimate</v>
      </c>
    </row>
    <row r="190" spans="1:46" s="8" customFormat="1" ht="34" x14ac:dyDescent="0.2">
      <c r="A190" s="9">
        <v>1.4</v>
      </c>
      <c r="B190" s="38" t="str">
        <v>Installation</v>
      </c>
      <c r="C190" s="11" t="str">
        <v>Surface Cable Assemblies</v>
      </c>
      <c r="D190" s="3" t="str">
        <v>Palletized wooden cable drums (Qty: 7). Can overwinter in MCM. Do Not Deep Freeze</v>
      </c>
      <c r="E190" s="4">
        <v>48</v>
      </c>
      <c r="F190" s="4">
        <v>65</v>
      </c>
      <c r="G190" s="4">
        <v>71</v>
      </c>
      <c r="H190" s="4">
        <v>7</v>
      </c>
      <c r="I190" s="539">
        <v>129</v>
      </c>
      <c r="J190" s="4">
        <v>903</v>
      </c>
      <c r="K190" s="4">
        <v>1336</v>
      </c>
      <c r="L190" s="4">
        <v>9352</v>
      </c>
      <c r="M190" s="4" t="str">
        <v>actual</v>
      </c>
      <c r="N190" s="4" t="str">
        <v>DNDF [-55C]</v>
      </c>
      <c r="O190" s="756" t="str">
        <v>MSU</v>
      </c>
      <c r="P190" s="758">
        <v>106</v>
      </c>
      <c r="Q190" s="878">
        <v>44743</v>
      </c>
      <c r="R190" s="757">
        <v>44849</v>
      </c>
      <c r="S190" s="757" t="str">
        <v>MSU - PTH</v>
      </c>
      <c r="T190" s="757" t="str">
        <v>Truck</v>
      </c>
      <c r="U190" s="742" t="str">
        <v>PTH - MCM</v>
      </c>
      <c r="V190" s="742" t="str">
        <v>FY23 inter</v>
      </c>
      <c r="W190" s="742" t="str">
        <v>FY23 Vessel</v>
      </c>
      <c r="X190" s="742" t="str">
        <v>USAP Vessel</v>
      </c>
      <c r="Y190" s="774" t="str">
        <v>-</v>
      </c>
      <c r="Z190" s="774" t="str">
        <v>-</v>
      </c>
      <c r="AA190" s="774">
        <v>2</v>
      </c>
      <c r="AB190" s="774" t="str">
        <v>-</v>
      </c>
      <c r="AC190" s="774" t="str">
        <v>-</v>
      </c>
      <c r="AD190" s="702">
        <v>44963</v>
      </c>
      <c r="AE190" s="363" t="str">
        <v>FY25 intra</v>
      </c>
      <c r="AF190" s="363" t="str">
        <v>FY25 SPOT 1</v>
      </c>
      <c r="AG190" s="316">
        <v>0.5</v>
      </c>
      <c r="AH190" s="316" t="str">
        <v>-</v>
      </c>
      <c r="AI190" s="316" t="str">
        <v>-</v>
      </c>
      <c r="AJ190" s="316" t="str">
        <v>-</v>
      </c>
      <c r="AK190" s="53">
        <v>45627</v>
      </c>
      <c r="AL190" s="53">
        <v>45641</v>
      </c>
      <c r="AM190" s="316">
        <v>14</v>
      </c>
      <c r="AN190" s="316">
        <v>792</v>
      </c>
      <c r="AO190" s="316" t="str">
        <v>Yes</v>
      </c>
      <c r="AP190" s="53" t="str">
        <v>T. DeYoung</v>
      </c>
      <c r="AQ190" s="53">
        <v>44482</v>
      </c>
      <c r="AR190" s="53" t="str">
        <v>D. Tosi</v>
      </c>
      <c r="AS190" s="53">
        <v>44662</v>
      </c>
      <c r="AT190" s="53" t="str">
        <v xml:space="preserve">Shipping date early due to storage limitations at MSU. Additional float at Port Hueneme assuming USAP vessel departure.  </v>
      </c>
    </row>
    <row r="191" spans="1:46" s="8" customFormat="1" ht="102" x14ac:dyDescent="0.2">
      <c r="A191" s="9">
        <v>1.4</v>
      </c>
      <c r="B191" s="38" t="str">
        <v>Installation</v>
      </c>
      <c r="C191" s="11" t="str">
        <v>Breakout cables for strings 87-88</v>
      </c>
      <c r="D191" s="3" t="str">
        <v>Standard vessel shipping.  2 wooden crates containing spooled breakout cable assemblies - 96 cf / 1,000 lbs each - Cryo storage -  Do Not Deep Freeze</v>
      </c>
      <c r="E191" s="4">
        <v>72</v>
      </c>
      <c r="F191" s="4">
        <v>48</v>
      </c>
      <c r="G191" s="4">
        <v>48</v>
      </c>
      <c r="H191" s="4">
        <v>2</v>
      </c>
      <c r="I191" s="539">
        <v>96</v>
      </c>
      <c r="J191" s="4">
        <v>192</v>
      </c>
      <c r="K191" s="4">
        <v>1000</v>
      </c>
      <c r="L191" s="4">
        <v>2000</v>
      </c>
      <c r="M191" s="4" t="str">
        <v>estimated</v>
      </c>
      <c r="N191" s="4" t="str">
        <v>DNDF[-40C](*)</v>
      </c>
      <c r="O191" s="756" t="str">
        <v>MSU</v>
      </c>
      <c r="P191" s="758">
        <v>477</v>
      </c>
      <c r="Q191" s="878">
        <v>45103</v>
      </c>
      <c r="R191" s="757">
        <v>45580</v>
      </c>
      <c r="S191" s="757" t="str">
        <v>MSU - PTH</v>
      </c>
      <c r="T191" s="757" t="str">
        <v>Truck</v>
      </c>
      <c r="U191" s="742" t="str">
        <v>PTH - MCM</v>
      </c>
      <c r="V191" s="742" t="str">
        <v>FY25 inter</v>
      </c>
      <c r="W191" s="742" t="str">
        <v>FY25 Vessel</v>
      </c>
      <c r="X191" s="742" t="str">
        <v>USAP Vessel</v>
      </c>
      <c r="Y191" s="774" t="str">
        <v>-</v>
      </c>
      <c r="Z191" s="774">
        <v>0.25</v>
      </c>
      <c r="AA191" s="774" t="str">
        <v>-</v>
      </c>
      <c r="AB191" s="774" t="str">
        <v>-</v>
      </c>
      <c r="AC191" s="774" t="str">
        <v>-</v>
      </c>
      <c r="AD191" s="702">
        <v>45694</v>
      </c>
      <c r="AE191" s="363" t="str">
        <v>FY25 intra</v>
      </c>
      <c r="AF191" s="363" t="str">
        <v>FY25 LC-130</v>
      </c>
      <c r="AG191" s="316" t="str">
        <v>-</v>
      </c>
      <c r="AH191" s="316" t="str">
        <v>-</v>
      </c>
      <c r="AI191" s="316" t="str">
        <v>-</v>
      </c>
      <c r="AJ191" s="316">
        <v>0.5</v>
      </c>
      <c r="AK191" s="53">
        <v>45703</v>
      </c>
      <c r="AL191" s="53">
        <v>46001</v>
      </c>
      <c r="AM191" s="316">
        <v>298</v>
      </c>
      <c r="AN191" s="316">
        <v>421</v>
      </c>
      <c r="AO191" s="316" t="str">
        <v>Yes</v>
      </c>
      <c r="AP191" s="53" t="str">
        <v>T. DeYoung</v>
      </c>
      <c r="AQ191" s="53">
        <v>44459</v>
      </c>
      <c r="AR191" s="53" t="str">
        <v>D. Tosi</v>
      </c>
      <c r="AS191" s="53">
        <v>44662</v>
      </c>
      <c r="AT191" s="53" t="str">
        <v>Shipping date early due to storage limitations at MSU. Additional float at Port Hueneme assuming USAP vessel departure.  Preliminary estimate of weight and size.  Pre-staging string 87-88 equipment in cryo or ICL. - if storage at Pole not possible, could overwinter in McM (at an increased risk and pending low temperature test) (*)</v>
      </c>
    </row>
    <row r="192" spans="1:46" s="8" customFormat="1" ht="68" x14ac:dyDescent="0.2">
      <c r="A192" s="275">
        <v>1.3</v>
      </c>
      <c r="B192" s="276" t="str">
        <v>Installation</v>
      </c>
      <c r="C192" s="277" t="str">
        <v>String Sensors 87-88 (mDOMs DESY)</v>
      </c>
      <c r="D192" s="278" t="str">
        <v>Optical sensors for 2 strings from Germany (mDOMs) (spares included) - Do Not Deep Freeze</v>
      </c>
      <c r="E192" s="4">
        <v>40</v>
      </c>
      <c r="F192" s="4">
        <v>48</v>
      </c>
      <c r="G192" s="4">
        <v>46</v>
      </c>
      <c r="H192" s="4">
        <v>16</v>
      </c>
      <c r="I192" s="539">
        <v>52</v>
      </c>
      <c r="J192" s="4">
        <v>832</v>
      </c>
      <c r="K192" s="4">
        <v>573</v>
      </c>
      <c r="L192" s="4">
        <v>9168</v>
      </c>
      <c r="M192" s="4" t="str">
        <v>actual</v>
      </c>
      <c r="N192" s="4" t="str">
        <v>DNDF [-40C]</v>
      </c>
      <c r="O192" s="756" t="str">
        <v>DESY</v>
      </c>
      <c r="P192" s="758">
        <v>440</v>
      </c>
      <c r="Q192" s="878">
        <v>45065</v>
      </c>
      <c r="R192" s="757">
        <v>45505</v>
      </c>
      <c r="S192" s="757" t="str">
        <v>DESY - CHC</v>
      </c>
      <c r="T192" s="757" t="str">
        <v>ComSur</v>
      </c>
      <c r="U192" s="742" t="str">
        <v>DESY-CHC</v>
      </c>
      <c r="V192" s="742" t="str">
        <v>FY25 inter</v>
      </c>
      <c r="W192" s="742" t="str">
        <v>FY25 ComSur</v>
      </c>
      <c r="X192" s="742" t="str">
        <v>USAP Air</v>
      </c>
      <c r="Y192" s="774" t="str">
        <v>-</v>
      </c>
      <c r="Z192" s="774" t="str">
        <v>-</v>
      </c>
      <c r="AA192" s="774" t="str">
        <v>-</v>
      </c>
      <c r="AB192" s="774" t="str">
        <v>-</v>
      </c>
      <c r="AC192" s="774">
        <v>2</v>
      </c>
      <c r="AD192" s="702">
        <v>45597</v>
      </c>
      <c r="AE192" s="363" t="str">
        <v>FY25 intra</v>
      </c>
      <c r="AF192" s="363" t="str">
        <v>FY25 LC-130</v>
      </c>
      <c r="AG192" s="316" t="str">
        <v>-</v>
      </c>
      <c r="AH192" s="316" t="str">
        <v>-</v>
      </c>
      <c r="AI192" s="316" t="str">
        <v>-</v>
      </c>
      <c r="AJ192" s="316">
        <v>2</v>
      </c>
      <c r="AK192" s="53">
        <v>45641</v>
      </c>
      <c r="AL192" s="53">
        <v>45654</v>
      </c>
      <c r="AM192" s="316">
        <v>13</v>
      </c>
      <c r="AN192" s="316">
        <v>149</v>
      </c>
      <c r="AO192" s="316" t="str">
        <v>Yes</v>
      </c>
      <c r="AP192" s="53" t="str">
        <v>T. Karg</v>
      </c>
      <c r="AQ192" s="53">
        <v>44459</v>
      </c>
      <c r="AR192" s="53" t="str">
        <v>D. Tosi</v>
      </c>
      <c r="AS192" s="53">
        <v>44461</v>
      </c>
      <c r="AT192" s="53" t="str">
        <v>mDOM weight is 62 lbs (25kg/sensor + 3 kg/box) + 35kg pallet, assume 8 mDOMs/pallet - 116 to be deployed + 12 spares - 
shipped in 20 HC container. Container weight not included in the assumption that pallet will be taken out in CHC.</v>
      </c>
    </row>
    <row r="193" spans="1:46" s="8" customFormat="1" ht="68" x14ac:dyDescent="0.2">
      <c r="A193" s="9">
        <v>1.3</v>
      </c>
      <c r="B193" s="38" t="str">
        <v>Installation</v>
      </c>
      <c r="C193" s="11" t="str">
        <v>String Sensors 87-88 (mDOMs DESY)</v>
      </c>
      <c r="D193" s="3" t="str">
        <v>Optical sensors for 2 strings from Germany (mDOMs) (SPARES) - Do Not Deep Freeze</v>
      </c>
      <c r="E193" s="4">
        <v>40</v>
      </c>
      <c r="F193" s="4">
        <v>48</v>
      </c>
      <c r="G193" s="4">
        <v>46</v>
      </c>
      <c r="H193" s="4">
        <v>0</v>
      </c>
      <c r="I193" s="539">
        <v>52</v>
      </c>
      <c r="J193" s="4">
        <v>0</v>
      </c>
      <c r="K193" s="4">
        <v>573</v>
      </c>
      <c r="L193" s="4">
        <v>0</v>
      </c>
      <c r="M193" s="4" t="str">
        <v>actual</v>
      </c>
      <c r="N193" s="4" t="str">
        <v>DNDF [-40C]</v>
      </c>
      <c r="O193" s="756" t="str">
        <v>DESY</v>
      </c>
      <c r="P193" s="758">
        <v>440</v>
      </c>
      <c r="Q193" s="878">
        <v>45065</v>
      </c>
      <c r="R193" s="757">
        <v>45505</v>
      </c>
      <c r="S193" s="757" t="str">
        <v>DESY - CHC</v>
      </c>
      <c r="T193" s="757" t="str">
        <v>ComSur</v>
      </c>
      <c r="U193" s="742" t="str">
        <v>DESY-CHC</v>
      </c>
      <c r="V193" s="742" t="str">
        <v>FY25 inter</v>
      </c>
      <c r="W193" s="742" t="str">
        <v>FY25 ComSur</v>
      </c>
      <c r="X193" s="742" t="str">
        <v>USAP Air</v>
      </c>
      <c r="Y193" s="774" t="str">
        <v>-</v>
      </c>
      <c r="Z193" s="774" t="str">
        <v>-</v>
      </c>
      <c r="AA193" s="774" t="str">
        <v>-</v>
      </c>
      <c r="AB193" s="774" t="str">
        <v>-</v>
      </c>
      <c r="AC193" s="774">
        <v>0.25</v>
      </c>
      <c r="AD193" s="702">
        <v>45597</v>
      </c>
      <c r="AE193" s="363" t="str">
        <v>FY25 intra</v>
      </c>
      <c r="AF193" s="363" t="str">
        <v>FY25 LC-130</v>
      </c>
      <c r="AG193" s="316" t="str">
        <v>-</v>
      </c>
      <c r="AH193" s="316" t="str">
        <v>-</v>
      </c>
      <c r="AI193" s="316" t="str">
        <v>-</v>
      </c>
      <c r="AJ193" s="316">
        <v>0.25</v>
      </c>
      <c r="AK193" s="53">
        <v>45641</v>
      </c>
      <c r="AL193" s="53">
        <v>45654</v>
      </c>
      <c r="AM193" s="316">
        <v>13</v>
      </c>
      <c r="AN193" s="316">
        <v>149</v>
      </c>
      <c r="AO193" s="316" t="str">
        <v>Yes</v>
      </c>
      <c r="AP193" s="53" t="str">
        <v>T. Karg</v>
      </c>
      <c r="AQ193" s="53">
        <v>44459</v>
      </c>
      <c r="AR193" s="53" t="str">
        <v>D. Tosi</v>
      </c>
      <c r="AS193" s="53">
        <v>44461</v>
      </c>
      <c r="AT193" s="53" t="str">
        <v>mDOM weight is 62 lbs (25kg/sensor + 3 kg/box) + 35kg pallet, assume 8 mDOMs/pallet - shipped in 20 HC container. Container weight not included in the assumption that pallet will be taken out in CHC.</v>
      </c>
    </row>
    <row r="194" spans="1:46" s="8" customFormat="1" ht="34" x14ac:dyDescent="0.2">
      <c r="A194" s="9">
        <v>1.3</v>
      </c>
      <c r="B194" s="38" t="str">
        <v>Installation</v>
      </c>
      <c r="C194" s="11" t="str">
        <v>Special Devices 87-88 (Europe)</v>
      </c>
      <c r="D194" s="3" t="str">
        <v>Special devices for 2 strings from DESY/Germany/Sweden (8 WOMs, 0 Abalone) + spares - Do Not Deep Freeze</v>
      </c>
      <c r="E194" s="4">
        <v>40</v>
      </c>
      <c r="F194" s="4">
        <v>21</v>
      </c>
      <c r="G194" s="4">
        <v>64</v>
      </c>
      <c r="H194" s="4">
        <v>1</v>
      </c>
      <c r="I194" s="539">
        <v>32</v>
      </c>
      <c r="J194" s="4">
        <v>32</v>
      </c>
      <c r="K194" s="4">
        <v>701</v>
      </c>
      <c r="L194" s="4">
        <v>701</v>
      </c>
      <c r="M194" s="4" t="str">
        <v>estimated</v>
      </c>
      <c r="N194" s="4" t="str">
        <v>DNDF [-40C]</v>
      </c>
      <c r="O194" s="756" t="str">
        <v>Mainz</v>
      </c>
      <c r="P194" s="758">
        <v>578</v>
      </c>
      <c r="Q194" s="878">
        <v>44927</v>
      </c>
      <c r="R194" s="757">
        <v>45505</v>
      </c>
      <c r="S194" s="757" t="str">
        <v>DESY - CHC</v>
      </c>
      <c r="T194" s="757" t="str">
        <v>ComSur</v>
      </c>
      <c r="U194" s="742" t="str">
        <v>DESY-CHC</v>
      </c>
      <c r="V194" s="742" t="str">
        <v>FY25 inter</v>
      </c>
      <c r="W194" s="742" t="str">
        <v>FY25 ComSur</v>
      </c>
      <c r="X194" s="742" t="str">
        <v>USAP Air</v>
      </c>
      <c r="Y194" s="774" t="str">
        <v>-</v>
      </c>
      <c r="Z194" s="774" t="str">
        <v>-</v>
      </c>
      <c r="AA194" s="774" t="str">
        <v>-</v>
      </c>
      <c r="AB194" s="774" t="str">
        <v>-</v>
      </c>
      <c r="AC194" s="774">
        <v>0.25</v>
      </c>
      <c r="AD194" s="702">
        <v>45597</v>
      </c>
      <c r="AE194" s="363" t="str">
        <v>FY25 intra</v>
      </c>
      <c r="AF194" s="363" t="str">
        <v>FY25 LC-130</v>
      </c>
      <c r="AG194" s="316" t="str">
        <v>-</v>
      </c>
      <c r="AH194" s="316" t="str">
        <v>-</v>
      </c>
      <c r="AI194" s="316" t="str">
        <v>-</v>
      </c>
      <c r="AJ194" s="316">
        <v>0.25</v>
      </c>
      <c r="AK194" s="53">
        <v>45641</v>
      </c>
      <c r="AL194" s="53">
        <v>45654</v>
      </c>
      <c r="AM194" s="316">
        <v>13</v>
      </c>
      <c r="AN194" s="316">
        <v>149</v>
      </c>
      <c r="AO194" s="316" t="str">
        <v>Yes</v>
      </c>
      <c r="AP194" s="53" t="str">
        <v>S. Boeser</v>
      </c>
      <c r="AQ194" s="53">
        <v>44482</v>
      </c>
      <c r="AR194" s="53" t="str">
        <v>D. Tosi</v>
      </c>
      <c r="AS194" s="53">
        <v>44482</v>
      </c>
      <c r="AT194" s="53" t="str">
        <v xml:space="preserve">8 WOMs (no spares) - AH not included for now. Assume 150 lbs crate.  </v>
      </c>
    </row>
    <row r="195" spans="1:46" s="8" customFormat="1" ht="51" x14ac:dyDescent="0.2">
      <c r="A195" s="9">
        <v>1.5</v>
      </c>
      <c r="B195" s="38" t="str">
        <v>Installation</v>
      </c>
      <c r="C195" s="11" t="str">
        <v>Calibration Devices 87-88 (Europe)</v>
      </c>
      <c r="D195" s="3" t="str">
        <v>Calibration devices for 2 strings from DESY/Germany/Sweden (4+2 POCAMs, 3+1 Acoustic sensors,  2+1 Swedish Cameras) - Do Not Deep Freeze</v>
      </c>
      <c r="E195" s="4">
        <v>62</v>
      </c>
      <c r="F195" s="4">
        <v>38</v>
      </c>
      <c r="G195" s="4">
        <v>41</v>
      </c>
      <c r="H195" s="4">
        <v>1</v>
      </c>
      <c r="I195" s="539">
        <v>56</v>
      </c>
      <c r="J195" s="4">
        <v>56</v>
      </c>
      <c r="K195" s="4">
        <v>836</v>
      </c>
      <c r="L195" s="4">
        <v>836</v>
      </c>
      <c r="M195" s="4" t="str">
        <v>estimated</v>
      </c>
      <c r="N195" s="4" t="str">
        <v>DNDF [-40C]</v>
      </c>
      <c r="O195" s="756" t="str">
        <v>TUM/Aachen/Sweden</v>
      </c>
      <c r="P195" s="758">
        <v>792</v>
      </c>
      <c r="Q195" s="878">
        <v>44713</v>
      </c>
      <c r="R195" s="757">
        <v>45505</v>
      </c>
      <c r="S195" s="757" t="str">
        <v>DESY - CHC</v>
      </c>
      <c r="T195" s="757" t="str">
        <v>ComSur</v>
      </c>
      <c r="U195" s="742" t="str">
        <v>DESY-CHC</v>
      </c>
      <c r="V195" s="742" t="str">
        <v>FY25 inter</v>
      </c>
      <c r="W195" s="742" t="str">
        <v>FY25 ComSur</v>
      </c>
      <c r="X195" s="742" t="str">
        <v>USAP Air</v>
      </c>
      <c r="Y195" s="774" t="str">
        <v>-</v>
      </c>
      <c r="Z195" s="774" t="str">
        <v>-</v>
      </c>
      <c r="AA195" s="774" t="str">
        <v>-</v>
      </c>
      <c r="AB195" s="774" t="str">
        <v>-</v>
      </c>
      <c r="AC195" s="774">
        <v>0.25</v>
      </c>
      <c r="AD195" s="702">
        <v>45597</v>
      </c>
      <c r="AE195" s="363" t="str">
        <v>FY25 intra</v>
      </c>
      <c r="AF195" s="363" t="str">
        <v>FY25 LC-130</v>
      </c>
      <c r="AG195" s="316" t="str">
        <v>-</v>
      </c>
      <c r="AH195" s="316" t="str">
        <v>-</v>
      </c>
      <c r="AI195" s="316" t="str">
        <v>-</v>
      </c>
      <c r="AJ195" s="316">
        <v>0.25</v>
      </c>
      <c r="AK195" s="53">
        <v>45641</v>
      </c>
      <c r="AL195" s="53">
        <v>45654</v>
      </c>
      <c r="AM195" s="316">
        <v>13</v>
      </c>
      <c r="AN195" s="316">
        <v>149</v>
      </c>
      <c r="AO195" s="316" t="str">
        <v>Yes</v>
      </c>
      <c r="AP195" s="53" t="str">
        <v>D. Williams</v>
      </c>
      <c r="AQ195" s="53">
        <v>44482</v>
      </c>
      <c r="AR195" s="53" t="str">
        <v>D. Tosi</v>
      </c>
      <c r="AS195" s="53">
        <v>44482</v>
      </c>
      <c r="AT195" s="53" t="str">
        <v>Calibration devices for strings 87-88 = 2+1 Sweden Camera + 3+1 Acoustic Module + 4+1 POCAM, including spares, 200 lbs crate</v>
      </c>
    </row>
    <row r="196" spans="1:46" s="8" customFormat="1" ht="68" x14ac:dyDescent="0.2">
      <c r="A196" s="275">
        <v>1.4</v>
      </c>
      <c r="B196" s="276" t="str">
        <v>Installation</v>
      </c>
      <c r="C196" s="277" t="str">
        <v>FieldHub electronics</v>
      </c>
      <c r="D196" s="278" t="str">
        <v>Required onsite for FY24 installation. 1 crate containing readout electronics for installation in ICL - Do Not Freeze</v>
      </c>
      <c r="E196" s="4">
        <v>48</v>
      </c>
      <c r="F196" s="4">
        <v>48</v>
      </c>
      <c r="G196" s="4">
        <v>36</v>
      </c>
      <c r="H196" s="4">
        <v>1</v>
      </c>
      <c r="I196" s="539">
        <v>48</v>
      </c>
      <c r="J196" s="4">
        <v>48</v>
      </c>
      <c r="K196" s="4">
        <v>275</v>
      </c>
      <c r="L196" s="4">
        <v>275</v>
      </c>
      <c r="M196" s="4" t="str">
        <v>preliminary</v>
      </c>
      <c r="N196" s="4" t="str">
        <v>DNF</v>
      </c>
      <c r="O196" s="756" t="str">
        <v>DESY</v>
      </c>
      <c r="P196" s="758">
        <v>304</v>
      </c>
      <c r="Q196" s="878">
        <v>45215</v>
      </c>
      <c r="R196" s="757">
        <v>45519</v>
      </c>
      <c r="S196" s="757" t="str">
        <v>DESY - CHC</v>
      </c>
      <c r="T196" s="757" t="str">
        <v>ComSur</v>
      </c>
      <c r="U196" s="742" t="str">
        <v>DESY-CHC</v>
      </c>
      <c r="V196" s="742" t="str">
        <v>FY25 inter</v>
      </c>
      <c r="W196" s="742" t="str">
        <v>FY25 ComSur</v>
      </c>
      <c r="X196" s="742" t="str">
        <v>USAP Air</v>
      </c>
      <c r="Y196" s="774" t="str">
        <v>-</v>
      </c>
      <c r="Z196" s="774" t="str">
        <v>-</v>
      </c>
      <c r="AA196" s="774" t="str">
        <v>-</v>
      </c>
      <c r="AB196" s="774" t="str">
        <v>-</v>
      </c>
      <c r="AC196" s="774">
        <v>0.25</v>
      </c>
      <c r="AD196" s="702">
        <v>45597</v>
      </c>
      <c r="AE196" s="363" t="str">
        <v>FY25 intra</v>
      </c>
      <c r="AF196" s="363" t="str">
        <v>FY25 LC-130</v>
      </c>
      <c r="AG196" s="316" t="str">
        <v>-</v>
      </c>
      <c r="AH196" s="316" t="str">
        <v>-</v>
      </c>
      <c r="AI196" s="316" t="str">
        <v>-</v>
      </c>
      <c r="AJ196" s="316">
        <v>0.25</v>
      </c>
      <c r="AK196" s="53">
        <v>45626</v>
      </c>
      <c r="AL196" s="53">
        <v>45627</v>
      </c>
      <c r="AM196" s="316">
        <v>1</v>
      </c>
      <c r="AN196" s="316">
        <v>108</v>
      </c>
      <c r="AO196" s="316" t="str">
        <v>No</v>
      </c>
      <c r="AP196" s="53" t="str">
        <v>J. Kelley</v>
      </c>
      <c r="AQ196" s="53">
        <v>44482</v>
      </c>
      <c r="AR196" s="53" t="str">
        <v>D. Tosi</v>
      </c>
      <c r="AS196" s="53">
        <v>44662</v>
      </c>
      <c r="AT196" s="53" t="str">
        <v>Field Hubs are 442mm x 480mm x 133 mm (17.4" x 18.9" x 5.2") and weight maybe 10 lb each.  100 lbs crate. Ready to ship date actually chosen to be 2 weeks ahead of ship date to maximize time with the electronics (sort of backloaded)</v>
      </c>
    </row>
    <row r="197" spans="1:46" s="8" customFormat="1" ht="34" x14ac:dyDescent="0.2">
      <c r="A197" s="9">
        <v>1.3</v>
      </c>
      <c r="B197" s="38" t="str">
        <v>Installation</v>
      </c>
      <c r="C197" s="11" t="str">
        <v>String Sensors 87 &amp; 88 (D-Eggs-8x)</v>
      </c>
      <c r="D197" s="3" t="str">
        <v>Sensors (D-Eggs) pallets with 8 sensors  at Pole overwinter - Cryo location - Do Not Deep Freeze</v>
      </c>
      <c r="E197" s="4">
        <v>41</v>
      </c>
      <c r="F197" s="4">
        <v>41</v>
      </c>
      <c r="G197" s="4">
        <v>69</v>
      </c>
      <c r="H197" s="4">
        <v>4</v>
      </c>
      <c r="I197" s="539">
        <v>68</v>
      </c>
      <c r="J197" s="4">
        <v>272</v>
      </c>
      <c r="K197" s="4">
        <v>750</v>
      </c>
      <c r="L197" s="4">
        <v>3000</v>
      </c>
      <c r="M197" s="4" t="str">
        <v>actual</v>
      </c>
      <c r="N197" s="4" t="str">
        <v>DNDF [-40C]</v>
      </c>
      <c r="O197" s="756" t="str">
        <v>Chiba</v>
      </c>
      <c r="P197" s="758">
        <v>736</v>
      </c>
      <c r="Q197" s="878">
        <v>44769</v>
      </c>
      <c r="R197" s="757">
        <v>45505</v>
      </c>
      <c r="S197" s="757" t="str">
        <v>ChibaU - CHC</v>
      </c>
      <c r="T197" s="757" t="str">
        <v>Cargo shipment by CHU</v>
      </c>
      <c r="U197" s="742" t="str">
        <v>ChibaU - CHC</v>
      </c>
      <c r="V197" s="742" t="str">
        <v>FY25 inter</v>
      </c>
      <c r="W197" s="742" t="str">
        <v>FY25 ComSur</v>
      </c>
      <c r="X197" s="742" t="str">
        <v>USAP Air</v>
      </c>
      <c r="Y197" s="774" t="str">
        <v>-</v>
      </c>
      <c r="Z197" s="774" t="str">
        <v>-</v>
      </c>
      <c r="AA197" s="774" t="str">
        <v>-</v>
      </c>
      <c r="AB197" s="774" t="str">
        <v>-</v>
      </c>
      <c r="AC197" s="774">
        <v>1</v>
      </c>
      <c r="AD197" s="702">
        <v>45597</v>
      </c>
      <c r="AE197" s="363" t="str">
        <v>FY25 intra</v>
      </c>
      <c r="AF197" s="363" t="str">
        <v>FY25 LC-130</v>
      </c>
      <c r="AG197" s="316" t="str">
        <v>-</v>
      </c>
      <c r="AH197" s="316" t="str">
        <v>-</v>
      </c>
      <c r="AI197" s="316" t="str">
        <v>-</v>
      </c>
      <c r="AJ197" s="316">
        <v>1</v>
      </c>
      <c r="AK197" s="53">
        <v>45641</v>
      </c>
      <c r="AL197" s="53">
        <v>45654</v>
      </c>
      <c r="AM197" s="316">
        <v>13</v>
      </c>
      <c r="AN197" s="316">
        <v>149</v>
      </c>
      <c r="AO197" s="316" t="str">
        <v>Yes</v>
      </c>
      <c r="AP197" s="53" t="str">
        <v>S. Yoshida</v>
      </c>
      <c r="AQ197" s="53">
        <v>44461</v>
      </c>
      <c r="AR197" s="53" t="str">
        <v>D. Tosi</v>
      </c>
      <c r="AS197" s="53">
        <v>44662</v>
      </c>
      <c r="AT197" s="53" t="str">
        <v xml:space="preserve">Box size is 480x480x770mm (19"x19"x30.5"). 2x12-DEgg pallets combined with 2x8-DEgg pallets to form one 463L pallet </v>
      </c>
    </row>
    <row r="198" spans="1:46" s="8" customFormat="1" ht="34" x14ac:dyDescent="0.2">
      <c r="A198" s="9">
        <v>1.3</v>
      </c>
      <c r="B198" s="38" t="str">
        <v>Installation</v>
      </c>
      <c r="C198" s="11" t="str">
        <v>String Sensors 87 &amp; 88 (D-Eggs-8x)</v>
      </c>
      <c r="D198" s="3" t="str">
        <v xml:space="preserve">Sensors (D-Eggs) pallets with 8 sensors  at Pole overwinter (SPARES - TBD) - Cryo location - Do Not Deep Freeze </v>
      </c>
      <c r="E198" s="4">
        <v>41</v>
      </c>
      <c r="F198" s="4">
        <v>41</v>
      </c>
      <c r="G198" s="4">
        <v>69</v>
      </c>
      <c r="H198" s="4">
        <v>1</v>
      </c>
      <c r="I198" s="539">
        <v>68</v>
      </c>
      <c r="J198" s="4">
        <v>68</v>
      </c>
      <c r="K198" s="4">
        <v>750</v>
      </c>
      <c r="L198" s="4">
        <v>750</v>
      </c>
      <c r="M198" s="4" t="str">
        <v>actual</v>
      </c>
      <c r="N198" s="4" t="str">
        <v>DNDF [-40C]</v>
      </c>
      <c r="O198" s="756" t="str">
        <v>Chiba</v>
      </c>
      <c r="P198" s="758">
        <v>736</v>
      </c>
      <c r="Q198" s="878">
        <v>44769</v>
      </c>
      <c r="R198" s="757">
        <v>45505</v>
      </c>
      <c r="S198" s="757" t="str">
        <v>ChibaU - CHC</v>
      </c>
      <c r="T198" s="757" t="str">
        <v>Cargo shipment by CHU</v>
      </c>
      <c r="U198" s="742" t="str">
        <v>ChibaU - CHC</v>
      </c>
      <c r="V198" s="742" t="str">
        <v>FY25 inter</v>
      </c>
      <c r="W198" s="742" t="str">
        <v>FY25 ComSur</v>
      </c>
      <c r="X198" s="742" t="str">
        <v>USAP Air</v>
      </c>
      <c r="Y198" s="774" t="str">
        <v>-</v>
      </c>
      <c r="Z198" s="774" t="str">
        <v>-</v>
      </c>
      <c r="AA198" s="774" t="str">
        <v>-</v>
      </c>
      <c r="AB198" s="774" t="str">
        <v>-</v>
      </c>
      <c r="AC198" s="774">
        <v>0.25</v>
      </c>
      <c r="AD198" s="702">
        <v>45597</v>
      </c>
      <c r="AE198" s="363" t="str">
        <v>FY25 intra</v>
      </c>
      <c r="AF198" s="363" t="str">
        <v>FY25 LC-130</v>
      </c>
      <c r="AG198" s="316" t="str">
        <v>-</v>
      </c>
      <c r="AH198" s="316" t="str">
        <v>-</v>
      </c>
      <c r="AI198" s="316" t="str">
        <v>-</v>
      </c>
      <c r="AJ198" s="316">
        <v>0.25</v>
      </c>
      <c r="AK198" s="53">
        <v>45641</v>
      </c>
      <c r="AL198" s="53">
        <v>45654</v>
      </c>
      <c r="AM198" s="316">
        <v>13</v>
      </c>
      <c r="AN198" s="316">
        <v>149</v>
      </c>
      <c r="AO198" s="316" t="str">
        <v>Yes</v>
      </c>
      <c r="AP198" s="53" t="str">
        <v>S. Yoshida</v>
      </c>
      <c r="AQ198" s="53">
        <v>44461</v>
      </c>
      <c r="AR198" s="53" t="str">
        <v>D. Tosi</v>
      </c>
      <c r="AS198" s="53">
        <v>44662</v>
      </c>
      <c r="AT198" s="53" t="str">
        <v xml:space="preserve">SPARES number to be confirmed.  </v>
      </c>
    </row>
    <row r="199" spans="1:46" s="8" customFormat="1" ht="34" x14ac:dyDescent="0.2">
      <c r="A199" s="9">
        <v>1.3</v>
      </c>
      <c r="B199" s="38" t="str">
        <v>Installation</v>
      </c>
      <c r="C199" s="11" t="str">
        <v>String Sensors 87 &amp; 88 (D-Eggs-12x)</v>
      </c>
      <c r="D199" s="3" t="str">
        <v>Sensors (D-Eggs) pallets with 12 sensors  at Pole overwinter - Cryo location - Do Not Deep Freeze</v>
      </c>
      <c r="E199" s="4">
        <v>60</v>
      </c>
      <c r="F199" s="4">
        <v>41</v>
      </c>
      <c r="G199" s="4">
        <v>69</v>
      </c>
      <c r="H199" s="4">
        <v>4</v>
      </c>
      <c r="I199" s="539">
        <v>99</v>
      </c>
      <c r="J199" s="4">
        <v>396</v>
      </c>
      <c r="K199" s="4">
        <v>1102</v>
      </c>
      <c r="L199" s="4">
        <v>4408</v>
      </c>
      <c r="M199" s="4" t="str">
        <v>actual</v>
      </c>
      <c r="N199" s="4" t="str">
        <v>DNDF [-40C]</v>
      </c>
      <c r="O199" s="756" t="str">
        <v>Chiba</v>
      </c>
      <c r="P199" s="758">
        <v>736</v>
      </c>
      <c r="Q199" s="878">
        <v>44769</v>
      </c>
      <c r="R199" s="757">
        <v>45505</v>
      </c>
      <c r="S199" s="757" t="str">
        <v>ChibaU - CHC</v>
      </c>
      <c r="T199" s="757" t="str">
        <v>Cargo shipment by CHU</v>
      </c>
      <c r="U199" s="742" t="str">
        <v>ChibaU - CHC</v>
      </c>
      <c r="V199" s="742" t="str">
        <v>FY25 inter</v>
      </c>
      <c r="W199" s="742" t="str">
        <v>FY25 ComSur</v>
      </c>
      <c r="X199" s="742" t="str">
        <v>USAP Air</v>
      </c>
      <c r="Y199" s="774" t="str">
        <v>-</v>
      </c>
      <c r="Z199" s="774" t="str">
        <v>-</v>
      </c>
      <c r="AA199" s="774" t="str">
        <v>-</v>
      </c>
      <c r="AB199" s="774" t="str">
        <v>-</v>
      </c>
      <c r="AC199" s="774">
        <v>1</v>
      </c>
      <c r="AD199" s="702">
        <v>45597</v>
      </c>
      <c r="AE199" s="363" t="str">
        <v>FY25 intra</v>
      </c>
      <c r="AF199" s="363" t="str">
        <v>FY25 LC-130</v>
      </c>
      <c r="AG199" s="316" t="str">
        <v>-</v>
      </c>
      <c r="AH199" s="316" t="str">
        <v>-</v>
      </c>
      <c r="AI199" s="316" t="str">
        <v>-</v>
      </c>
      <c r="AJ199" s="316">
        <v>1</v>
      </c>
      <c r="AK199" s="53">
        <v>45641</v>
      </c>
      <c r="AL199" s="53">
        <v>45654</v>
      </c>
      <c r="AM199" s="316">
        <v>13</v>
      </c>
      <c r="AN199" s="316">
        <v>149</v>
      </c>
      <c r="AO199" s="316" t="str">
        <v>Yes</v>
      </c>
      <c r="AP199" s="53" t="str">
        <v>S. Yoshida</v>
      </c>
      <c r="AQ199" s="53">
        <v>44461</v>
      </c>
      <c r="AR199" s="53" t="str">
        <v>D. Tosi</v>
      </c>
      <c r="AS199" s="53">
        <v>44662</v>
      </c>
      <c r="AT199" s="53" t="str">
        <v xml:space="preserve">2x12-DEgg pallets combined with 2x8-DEgg pallets to form one 463L pallet </v>
      </c>
    </row>
    <row r="200" spans="1:46" s="8" customFormat="1" ht="34" x14ac:dyDescent="0.2">
      <c r="A200" s="275">
        <v>1.3</v>
      </c>
      <c r="B200" s="276" t="str">
        <v>Installation</v>
      </c>
      <c r="C200" s="277" t="str">
        <v>String Sensors 87 &amp; 88 (D-Eggs-12x)</v>
      </c>
      <c r="D200" s="278" t="str">
        <v>Sensors (D-Eggs) pallets with 12 sensors  at Pole overwinter (SPARES - TBD)- Cryo location - Do Not Deep Freeze</v>
      </c>
      <c r="E200" s="4">
        <v>60</v>
      </c>
      <c r="F200" s="4">
        <v>41</v>
      </c>
      <c r="G200" s="4">
        <v>69</v>
      </c>
      <c r="H200" s="4">
        <v>1</v>
      </c>
      <c r="I200" s="539">
        <v>99</v>
      </c>
      <c r="J200" s="4">
        <v>99</v>
      </c>
      <c r="K200" s="4">
        <v>1102</v>
      </c>
      <c r="L200" s="4">
        <v>1102</v>
      </c>
      <c r="M200" s="4" t="str">
        <v>actual</v>
      </c>
      <c r="N200" s="4" t="str">
        <v>DNDF [-40C]</v>
      </c>
      <c r="O200" s="756" t="str">
        <v>Chiba</v>
      </c>
      <c r="P200" s="758">
        <v>736</v>
      </c>
      <c r="Q200" s="878">
        <v>44769</v>
      </c>
      <c r="R200" s="757">
        <v>45505</v>
      </c>
      <c r="S200" s="757" t="str">
        <v>ChibaU - CHC</v>
      </c>
      <c r="T200" s="757" t="str">
        <v>Cargo shipment by CHU</v>
      </c>
      <c r="U200" s="742" t="str">
        <v>ChibaU - CHC</v>
      </c>
      <c r="V200" s="742" t="str">
        <v>FY25 inter</v>
      </c>
      <c r="W200" s="742" t="str">
        <v>FY25 ComSur</v>
      </c>
      <c r="X200" s="742" t="str">
        <v>USAP Air</v>
      </c>
      <c r="Y200" s="774" t="str">
        <v>-</v>
      </c>
      <c r="Z200" s="774" t="str">
        <v>-</v>
      </c>
      <c r="AA200" s="774" t="str">
        <v>-</v>
      </c>
      <c r="AB200" s="774" t="str">
        <v>-</v>
      </c>
      <c r="AC200" s="774">
        <v>0.25</v>
      </c>
      <c r="AD200" s="702">
        <v>45597</v>
      </c>
      <c r="AE200" s="363" t="str">
        <v>FY25 intra</v>
      </c>
      <c r="AF200" s="363" t="str">
        <v>FY25 LC-130</v>
      </c>
      <c r="AG200" s="316" t="str">
        <v>-</v>
      </c>
      <c r="AH200" s="316" t="str">
        <v>-</v>
      </c>
      <c r="AI200" s="316" t="str">
        <v>-</v>
      </c>
      <c r="AJ200" s="316">
        <v>0.25</v>
      </c>
      <c r="AK200" s="53">
        <v>45641</v>
      </c>
      <c r="AL200" s="53">
        <v>45654</v>
      </c>
      <c r="AM200" s="316">
        <v>13</v>
      </c>
      <c r="AN200" s="316">
        <v>149</v>
      </c>
      <c r="AO200" s="316" t="str">
        <v>Yes</v>
      </c>
      <c r="AP200" s="53" t="str">
        <v>S. Yoshida</v>
      </c>
      <c r="AQ200" s="53">
        <v>44461</v>
      </c>
      <c r="AR200" s="53" t="str">
        <v>D. Tosi</v>
      </c>
      <c r="AS200" s="53">
        <v>44662</v>
      </c>
      <c r="AT200" s="53" t="str">
        <v xml:space="preserve">SPARES number to be confirmed. </v>
      </c>
    </row>
    <row r="201" spans="1:46" s="8" customFormat="1" ht="34" x14ac:dyDescent="0.2">
      <c r="A201" s="9">
        <v>1.2</v>
      </c>
      <c r="B201" s="38" t="str">
        <v>Fuel</v>
      </c>
      <c r="C201" s="11" t="str">
        <v>Field Season 2 Fuel</v>
      </c>
      <c r="D201" s="3" t="str">
        <v>Fuel to support FY24 field season - Base fuel, firn drilling &amp; over winter heating</v>
      </c>
      <c r="E201" s="4">
        <v>0</v>
      </c>
      <c r="F201" s="4">
        <v>0</v>
      </c>
      <c r="G201" s="4">
        <v>0</v>
      </c>
      <c r="H201" s="4">
        <v>18178</v>
      </c>
      <c r="I201" s="539">
        <v>0</v>
      </c>
      <c r="J201" s="4">
        <v>2430.0500000000002</v>
      </c>
      <c r="K201" s="4">
        <v>6.8</v>
      </c>
      <c r="L201" s="4">
        <v>123610.4</v>
      </c>
      <c r="M201" s="4" t="str">
        <v>preliminary</v>
      </c>
      <c r="N201" s="4" t="str">
        <v>-</v>
      </c>
      <c r="O201" s="756" t="str">
        <v>-</v>
      </c>
      <c r="P201" s="758" t="str">
        <v>-</v>
      </c>
      <c r="Q201" s="878" t="str">
        <v>-</v>
      </c>
      <c r="R201" s="757" t="str">
        <v>-</v>
      </c>
      <c r="S201" s="757" t="str">
        <v>-</v>
      </c>
      <c r="T201" s="757" t="str">
        <v>-</v>
      </c>
      <c r="U201" s="742" t="str">
        <v>-</v>
      </c>
      <c r="V201" s="742" t="str">
        <v>FY25 inter</v>
      </c>
      <c r="W201" s="742" t="str">
        <v>-</v>
      </c>
      <c r="X201" s="742" t="str">
        <v>-</v>
      </c>
      <c r="Y201" s="774" t="str">
        <v>-</v>
      </c>
      <c r="Z201" s="774" t="str">
        <v>-</v>
      </c>
      <c r="AA201" s="774" t="str">
        <v>-</v>
      </c>
      <c r="AB201" s="774" t="str">
        <v>-</v>
      </c>
      <c r="AC201" s="774">
        <v>0</v>
      </c>
      <c r="AD201" s="702">
        <v>45597</v>
      </c>
      <c r="AE201" s="363" t="str">
        <v>FY25 intra</v>
      </c>
      <c r="AF201" s="363" t="str">
        <v>FY25 LC-Tanker</v>
      </c>
      <c r="AG201" s="316" t="str">
        <v>-</v>
      </c>
      <c r="AH201" s="316" t="str">
        <v>-</v>
      </c>
      <c r="AI201" s="316" t="str">
        <v>-</v>
      </c>
      <c r="AJ201" s="316">
        <v>0</v>
      </c>
      <c r="AK201" s="53">
        <v>45627</v>
      </c>
      <c r="AL201" s="53">
        <v>45627</v>
      </c>
      <c r="AM201" s="316">
        <v>0</v>
      </c>
      <c r="AN201" s="316" t="str">
        <v>-</v>
      </c>
      <c r="AO201" s="316" t="str">
        <v>Yes</v>
      </c>
      <c r="AP201" s="53" t="str">
        <v>T. Benson</v>
      </c>
      <c r="AQ201" s="53">
        <v>44483</v>
      </c>
      <c r="AR201" s="53" t="str">
        <v>I. McEwen</v>
      </c>
      <c r="AS201" s="53">
        <v>44483</v>
      </c>
      <c r="AT201" s="53" t="str">
        <v>-</v>
      </c>
    </row>
    <row r="202" spans="1:46" s="8" customFormat="1" ht="17" x14ac:dyDescent="0.2">
      <c r="A202" s="9">
        <v>1.2</v>
      </c>
      <c r="B202" s="38" t="str">
        <v>Fuel</v>
      </c>
      <c r="C202" s="11" t="str">
        <v>Field Season 2 Fuel Contingency</v>
      </c>
      <c r="D202" s="3" t="str">
        <v>Fuel to support FY24 field season - Contingency</v>
      </c>
      <c r="E202" s="4">
        <v>0</v>
      </c>
      <c r="F202" s="4">
        <v>0</v>
      </c>
      <c r="G202" s="4">
        <v>0</v>
      </c>
      <c r="H202" s="4">
        <v>2373</v>
      </c>
      <c r="I202" s="539">
        <v>0</v>
      </c>
      <c r="J202" s="4">
        <v>317.23</v>
      </c>
      <c r="K202" s="4">
        <v>6.8</v>
      </c>
      <c r="L202" s="4">
        <v>16136.4</v>
      </c>
      <c r="M202" s="4" t="str">
        <v>preliminary</v>
      </c>
      <c r="N202" s="4" t="str">
        <v>-</v>
      </c>
      <c r="O202" s="756" t="str">
        <v>-</v>
      </c>
      <c r="P202" s="758" t="str">
        <v>-</v>
      </c>
      <c r="Q202" s="878" t="str">
        <v>-</v>
      </c>
      <c r="R202" s="757" t="str">
        <v>-</v>
      </c>
      <c r="S202" s="757" t="str">
        <v>-</v>
      </c>
      <c r="T202" s="757" t="str">
        <v>-</v>
      </c>
      <c r="U202" s="742" t="str">
        <v>-</v>
      </c>
      <c r="V202" s="742" t="str">
        <v>FY25 inter</v>
      </c>
      <c r="W202" s="742" t="str">
        <v>-</v>
      </c>
      <c r="X202" s="742" t="str">
        <v>-</v>
      </c>
      <c r="Y202" s="774" t="str">
        <v>-</v>
      </c>
      <c r="Z202" s="774" t="str">
        <v>-</v>
      </c>
      <c r="AA202" s="774" t="str">
        <v>-</v>
      </c>
      <c r="AB202" s="774" t="str">
        <v>-</v>
      </c>
      <c r="AC202" s="774">
        <v>0</v>
      </c>
      <c r="AD202" s="702">
        <v>45597</v>
      </c>
      <c r="AE202" s="363" t="str">
        <v>FY25 intra</v>
      </c>
      <c r="AF202" s="363" t="str">
        <v>FY25 LC-Tanker</v>
      </c>
      <c r="AG202" s="316" t="str">
        <v>-</v>
      </c>
      <c r="AH202" s="316" t="str">
        <v>-</v>
      </c>
      <c r="AI202" s="316" t="str">
        <v>-</v>
      </c>
      <c r="AJ202" s="316">
        <v>0</v>
      </c>
      <c r="AK202" s="53">
        <v>45627</v>
      </c>
      <c r="AL202" s="53">
        <v>45627</v>
      </c>
      <c r="AM202" s="316">
        <v>0</v>
      </c>
      <c r="AN202" s="316" t="str">
        <v>-</v>
      </c>
      <c r="AO202" s="316" t="str">
        <v>Yes</v>
      </c>
      <c r="AP202" s="53" t="str">
        <v>T. Benson</v>
      </c>
      <c r="AQ202" s="53">
        <v>44483</v>
      </c>
      <c r="AR202" s="53" t="str">
        <v>I. McEwen</v>
      </c>
      <c r="AS202" s="53">
        <v>44483</v>
      </c>
      <c r="AT202" s="53" t="str">
        <v>-</v>
      </c>
    </row>
    <row r="203" spans="1:46" s="8" customFormat="1" x14ac:dyDescent="0.2">
      <c r="A203" s="9"/>
      <c r="B203" s="38"/>
      <c r="C203" s="11"/>
      <c r="D203" s="3"/>
      <c r="E203" s="4"/>
      <c r="F203" s="4"/>
      <c r="G203" s="4"/>
      <c r="H203" s="4"/>
      <c r="I203" s="539"/>
      <c r="J203" s="4"/>
      <c r="K203" s="4"/>
      <c r="L203" s="4"/>
      <c r="M203" s="4"/>
      <c r="N203" s="4"/>
      <c r="O203" s="756"/>
      <c r="P203" s="758"/>
      <c r="Q203" s="878"/>
      <c r="R203" s="757"/>
      <c r="S203" s="757"/>
      <c r="T203" s="757"/>
      <c r="U203" s="742"/>
      <c r="V203" s="742"/>
      <c r="W203" s="742"/>
      <c r="X203" s="742"/>
      <c r="Y203" s="774"/>
      <c r="Z203" s="774"/>
      <c r="AA203" s="774"/>
      <c r="AB203" s="774"/>
      <c r="AC203" s="774"/>
      <c r="AD203" s="702"/>
      <c r="AE203" s="363"/>
      <c r="AF203" s="363"/>
      <c r="AG203" s="316"/>
      <c r="AH203" s="316"/>
      <c r="AI203" s="316"/>
      <c r="AJ203" s="316"/>
      <c r="AK203" s="53"/>
      <c r="AL203" s="53"/>
      <c r="AM203" s="316"/>
      <c r="AN203" s="316"/>
      <c r="AO203" s="316"/>
      <c r="AP203" s="53"/>
      <c r="AQ203" s="53"/>
      <c r="AR203" s="53"/>
      <c r="AS203" s="53"/>
      <c r="AT203" s="53"/>
    </row>
    <row r="204" spans="1:46" s="8" customFormat="1" x14ac:dyDescent="0.2">
      <c r="A204" s="275"/>
      <c r="B204" s="276"/>
      <c r="C204" s="277"/>
      <c r="D204" s="278"/>
      <c r="E204" s="4"/>
      <c r="F204" s="4"/>
      <c r="G204" s="4"/>
      <c r="H204" s="4"/>
      <c r="I204" s="539"/>
      <c r="J204" s="4"/>
      <c r="K204" s="4"/>
      <c r="L204" s="4"/>
      <c r="M204" s="4"/>
      <c r="N204" s="4"/>
      <c r="O204" s="756"/>
      <c r="P204" s="758"/>
      <c r="Q204" s="878"/>
      <c r="R204" s="757"/>
      <c r="S204" s="757"/>
      <c r="T204" s="757"/>
      <c r="U204" s="742"/>
      <c r="V204" s="742"/>
      <c r="W204" s="742"/>
      <c r="X204" s="742"/>
      <c r="Y204" s="774"/>
      <c r="Z204" s="774"/>
      <c r="AA204" s="774"/>
      <c r="AB204" s="774"/>
      <c r="AC204" s="774"/>
      <c r="AD204" s="702"/>
      <c r="AE204" s="363"/>
      <c r="AF204" s="363"/>
      <c r="AG204" s="316"/>
      <c r="AH204" s="316"/>
      <c r="AI204" s="316"/>
      <c r="AJ204" s="316"/>
      <c r="AK204" s="53"/>
      <c r="AL204" s="53"/>
      <c r="AM204" s="316"/>
      <c r="AN204" s="316"/>
      <c r="AO204" s="316"/>
      <c r="AP204" s="53"/>
      <c r="AQ204" s="53"/>
      <c r="AR204" s="53"/>
      <c r="AS204" s="53"/>
      <c r="AT204" s="53"/>
    </row>
    <row r="205" spans="1:46" s="8" customFormat="1" x14ac:dyDescent="0.2">
      <c r="A205" s="9"/>
      <c r="B205" s="38"/>
      <c r="C205" s="11"/>
      <c r="D205" s="3"/>
      <c r="E205" s="4"/>
      <c r="F205" s="4"/>
      <c r="G205" s="4"/>
      <c r="H205" s="4"/>
      <c r="I205" s="539"/>
      <c r="J205" s="4"/>
      <c r="K205" s="4"/>
      <c r="L205" s="4"/>
      <c r="M205" s="4"/>
      <c r="N205" s="4"/>
      <c r="O205" s="756"/>
      <c r="P205" s="758"/>
      <c r="Q205" s="878"/>
      <c r="R205" s="757"/>
      <c r="S205" s="757"/>
      <c r="T205" s="757"/>
      <c r="U205" s="742"/>
      <c r="V205" s="742"/>
      <c r="W205" s="742"/>
      <c r="X205" s="742"/>
      <c r="Y205" s="774"/>
      <c r="Z205" s="774"/>
      <c r="AA205" s="774"/>
      <c r="AB205" s="774"/>
      <c r="AC205" s="774"/>
      <c r="AD205" s="702"/>
      <c r="AE205" s="363"/>
      <c r="AF205" s="363"/>
      <c r="AG205" s="316"/>
      <c r="AH205" s="316"/>
      <c r="AI205" s="316"/>
      <c r="AJ205" s="316"/>
      <c r="AK205" s="53"/>
      <c r="AL205" s="53"/>
      <c r="AM205" s="316"/>
      <c r="AN205" s="316"/>
      <c r="AO205" s="316"/>
      <c r="AP205" s="53"/>
      <c r="AQ205" s="53"/>
      <c r="AR205" s="53"/>
      <c r="AS205" s="53"/>
      <c r="AT205" s="53"/>
    </row>
    <row r="206" spans="1:46" s="8" customFormat="1" x14ac:dyDescent="0.2">
      <c r="A206" s="9"/>
      <c r="B206" s="38"/>
      <c r="C206" s="11"/>
      <c r="D206" s="3"/>
      <c r="E206" s="4"/>
      <c r="F206" s="4"/>
      <c r="G206" s="4"/>
      <c r="H206" s="4"/>
      <c r="I206" s="539"/>
      <c r="J206" s="4"/>
      <c r="K206" s="4"/>
      <c r="L206" s="4"/>
      <c r="M206" s="4"/>
      <c r="N206" s="4"/>
      <c r="O206" s="756"/>
      <c r="P206" s="758"/>
      <c r="Q206" s="878"/>
      <c r="R206" s="757"/>
      <c r="S206" s="757"/>
      <c r="T206" s="757"/>
      <c r="U206" s="742"/>
      <c r="V206" s="742"/>
      <c r="W206" s="742"/>
      <c r="X206" s="742"/>
      <c r="Y206" s="774"/>
      <c r="Z206" s="774"/>
      <c r="AA206" s="774"/>
      <c r="AB206" s="774"/>
      <c r="AC206" s="774"/>
      <c r="AD206" s="702"/>
      <c r="AE206" s="363"/>
      <c r="AF206" s="363"/>
      <c r="AG206" s="316"/>
      <c r="AH206" s="316"/>
      <c r="AI206" s="316"/>
      <c r="AJ206" s="316"/>
      <c r="AK206" s="53"/>
      <c r="AL206" s="53"/>
      <c r="AM206" s="316"/>
      <c r="AN206" s="316"/>
      <c r="AO206" s="316"/>
      <c r="AP206" s="53"/>
      <c r="AQ206" s="53"/>
      <c r="AR206" s="53"/>
      <c r="AS206" s="53"/>
      <c r="AT206" s="53"/>
    </row>
    <row r="207" spans="1:46" s="8" customFormat="1" x14ac:dyDescent="0.2">
      <c r="A207" s="9"/>
      <c r="B207" s="38"/>
      <c r="C207" s="11"/>
      <c r="D207" s="3"/>
      <c r="E207" s="4"/>
      <c r="F207" s="4"/>
      <c r="G207" s="4"/>
      <c r="H207" s="4"/>
      <c r="I207" s="539"/>
      <c r="J207" s="4"/>
      <c r="K207" s="4"/>
      <c r="L207" s="4"/>
      <c r="M207" s="4"/>
      <c r="N207" s="4"/>
      <c r="O207" s="756"/>
      <c r="P207" s="758"/>
      <c r="Q207" s="878"/>
      <c r="R207" s="757"/>
      <c r="S207" s="757"/>
      <c r="T207" s="757"/>
      <c r="U207" s="742"/>
      <c r="V207" s="742"/>
      <c r="W207" s="742"/>
      <c r="X207" s="742"/>
      <c r="Y207" s="774"/>
      <c r="Z207" s="774"/>
      <c r="AA207" s="774"/>
      <c r="AB207" s="774"/>
      <c r="AC207" s="774"/>
      <c r="AD207" s="702"/>
      <c r="AE207" s="363"/>
      <c r="AF207" s="363"/>
      <c r="AG207" s="316"/>
      <c r="AH207" s="316"/>
      <c r="AI207" s="316"/>
      <c r="AJ207" s="316"/>
      <c r="AK207" s="53"/>
      <c r="AL207" s="53"/>
      <c r="AM207" s="316"/>
      <c r="AN207" s="316"/>
      <c r="AO207" s="316"/>
      <c r="AP207" s="53"/>
      <c r="AQ207" s="53"/>
      <c r="AR207" s="53"/>
      <c r="AS207" s="53"/>
      <c r="AT207" s="53"/>
    </row>
    <row r="208" spans="1:46" s="8" customFormat="1" x14ac:dyDescent="0.2">
      <c r="A208" s="275"/>
      <c r="B208" s="276"/>
      <c r="C208" s="277"/>
      <c r="D208" s="278"/>
      <c r="E208" s="4"/>
      <c r="F208" s="4"/>
      <c r="G208" s="4"/>
      <c r="H208" s="4"/>
      <c r="I208" s="539"/>
      <c r="J208" s="4"/>
      <c r="K208" s="4"/>
      <c r="L208" s="4"/>
      <c r="M208" s="4"/>
      <c r="N208" s="4"/>
      <c r="O208" s="756"/>
      <c r="P208" s="758"/>
      <c r="Q208" s="878"/>
      <c r="R208" s="757"/>
      <c r="S208" s="757"/>
      <c r="T208" s="757"/>
      <c r="U208" s="742"/>
      <c r="V208" s="742"/>
      <c r="W208" s="742"/>
      <c r="X208" s="742"/>
      <c r="Y208" s="774"/>
      <c r="Z208" s="774"/>
      <c r="AA208" s="774"/>
      <c r="AB208" s="774"/>
      <c r="AC208" s="774"/>
      <c r="AD208" s="702"/>
      <c r="AE208" s="363"/>
      <c r="AF208" s="363"/>
      <c r="AG208" s="316"/>
      <c r="AH208" s="316"/>
      <c r="AI208" s="316"/>
      <c r="AJ208" s="316"/>
      <c r="AK208" s="53"/>
      <c r="AL208" s="53"/>
      <c r="AM208" s="316"/>
      <c r="AN208" s="316"/>
      <c r="AO208" s="316"/>
      <c r="AP208" s="53"/>
      <c r="AQ208" s="53"/>
      <c r="AR208" s="53"/>
      <c r="AS208" s="53"/>
      <c r="AT208" s="53"/>
    </row>
    <row r="209" spans="1:46" s="8" customFormat="1" ht="17" thickBot="1" x14ac:dyDescent="0.25">
      <c r="A209" s="9"/>
      <c r="B209" s="38"/>
      <c r="C209" s="11"/>
      <c r="D209" s="3"/>
      <c r="E209" s="4"/>
      <c r="F209" s="4"/>
      <c r="G209" s="4"/>
      <c r="H209" s="4"/>
      <c r="I209" s="539"/>
      <c r="J209" s="4"/>
      <c r="K209" s="4"/>
      <c r="L209" s="4"/>
      <c r="M209" s="4"/>
      <c r="N209" s="4"/>
      <c r="O209" s="756"/>
      <c r="P209" s="758"/>
      <c r="Q209" s="878"/>
      <c r="R209" s="757"/>
      <c r="S209" s="757"/>
      <c r="T209" s="757"/>
      <c r="U209" s="742"/>
      <c r="V209" s="742"/>
      <c r="W209" s="742"/>
      <c r="X209" s="742"/>
      <c r="Y209" s="774"/>
      <c r="Z209" s="774"/>
      <c r="AA209" s="774"/>
      <c r="AB209" s="774"/>
      <c r="AC209" s="774"/>
      <c r="AD209" s="702"/>
      <c r="AE209" s="363"/>
      <c r="AF209" s="363"/>
      <c r="AG209" s="316"/>
      <c r="AH209" s="316"/>
      <c r="AI209" s="316"/>
      <c r="AJ209" s="316"/>
      <c r="AK209" s="53"/>
      <c r="AL209" s="53"/>
      <c r="AM209" s="316"/>
      <c r="AN209" s="316"/>
      <c r="AO209" s="316"/>
      <c r="AP209" s="53"/>
      <c r="AQ209" s="53"/>
      <c r="AR209" s="53"/>
      <c r="AS209" s="53"/>
      <c r="AT209" s="53"/>
    </row>
    <row r="210" spans="1:46" ht="17" thickBot="1" x14ac:dyDescent="0.25">
      <c r="A210" s="796"/>
      <c r="B210" s="796"/>
      <c r="C210" s="802"/>
      <c r="D210" s="802"/>
      <c r="E210" s="796"/>
      <c r="F210" s="796"/>
      <c r="G210" s="796"/>
      <c r="H210" s="796"/>
      <c r="I210" s="800"/>
      <c r="J210" s="319">
        <f>SUM(J177:J209)</f>
        <v>12067.279999999999</v>
      </c>
      <c r="K210" s="796"/>
      <c r="L210" s="805">
        <f>SUM(L177:L209)</f>
        <v>251744.8</v>
      </c>
      <c r="M210" s="801"/>
      <c r="N210" s="796"/>
      <c r="O210" s="796"/>
      <c r="P210" s="796"/>
      <c r="Q210" s="798"/>
      <c r="R210" s="798"/>
      <c r="S210" s="798"/>
      <c r="T210" s="798"/>
      <c r="U210" s="796"/>
      <c r="V210" s="796"/>
      <c r="W210" s="796"/>
      <c r="X210" s="796"/>
      <c r="Y210" s="786"/>
      <c r="Z210" s="786"/>
      <c r="AA210" s="786"/>
      <c r="AB210" s="786"/>
      <c r="AC210" s="786"/>
      <c r="AD210" s="798"/>
      <c r="AE210" s="786"/>
      <c r="AF210" s="577">
        <f>SUM(AG210:AI210)</f>
        <v>3.3499999999999996</v>
      </c>
      <c r="AG210" s="319">
        <f>SUM(AG177:AG209)</f>
        <v>2.9</v>
      </c>
      <c r="AH210" s="319">
        <f t="shared" ref="AH210:AI210" si="4">SUM(AH177:AH209)</f>
        <v>0.44999999999999996</v>
      </c>
      <c r="AI210" s="319">
        <f t="shared" si="4"/>
        <v>0</v>
      </c>
      <c r="AJ210" s="319">
        <f>SUM(AJ177:AJ209)</f>
        <v>9.25</v>
      </c>
      <c r="AK210" s="798"/>
      <c r="AL210" s="798"/>
      <c r="AM210" s="798"/>
      <c r="AN210" s="798"/>
      <c r="AO210" s="798"/>
      <c r="AP210" s="798"/>
      <c r="AQ210" s="798"/>
      <c r="AR210" s="798"/>
      <c r="AS210" s="799"/>
      <c r="AT210" s="796"/>
    </row>
    <row r="211" spans="1:46" x14ac:dyDescent="0.2">
      <c r="A211" s="796"/>
      <c r="B211" s="796"/>
      <c r="C211" s="802"/>
      <c r="D211" s="802"/>
      <c r="E211" s="796"/>
      <c r="F211" s="796"/>
      <c r="G211" s="796"/>
      <c r="H211" s="796"/>
      <c r="I211" s="800"/>
      <c r="J211" s="54" t="s">
        <v>478</v>
      </c>
      <c r="K211" s="8"/>
      <c r="L211" s="8" t="s">
        <v>479</v>
      </c>
      <c r="M211" s="801"/>
      <c r="N211" s="796"/>
      <c r="O211" s="796"/>
      <c r="P211" s="796"/>
      <c r="Q211" s="798"/>
      <c r="R211" s="798"/>
      <c r="S211" s="798"/>
      <c r="T211" s="798"/>
      <c r="U211" s="796"/>
      <c r="V211" s="796"/>
      <c r="W211" s="796"/>
      <c r="X211" s="796"/>
      <c r="Y211" s="786"/>
      <c r="Z211" s="786"/>
      <c r="AA211" s="786"/>
      <c r="AB211" s="786"/>
      <c r="AC211" s="786"/>
      <c r="AD211" s="798"/>
      <c r="AE211" s="786"/>
      <c r="AF211" s="548" t="s">
        <v>480</v>
      </c>
      <c r="AG211" s="54" t="s">
        <v>481</v>
      </c>
      <c r="AH211" s="8" t="s">
        <v>482</v>
      </c>
      <c r="AI211" s="8" t="s">
        <v>483</v>
      </c>
      <c r="AJ211" s="8" t="s">
        <v>484</v>
      </c>
      <c r="AK211" s="798"/>
      <c r="AL211" s="798"/>
      <c r="AM211" s="798"/>
      <c r="AN211" s="798"/>
      <c r="AO211" s="798"/>
      <c r="AP211" s="798"/>
      <c r="AQ211" s="798"/>
      <c r="AR211" s="798"/>
      <c r="AS211" s="799"/>
      <c r="AT211" s="796"/>
    </row>
    <row r="212" spans="1:46" x14ac:dyDescent="0.2">
      <c r="A212" s="796"/>
      <c r="B212" s="796"/>
      <c r="C212" s="802"/>
      <c r="D212" s="802"/>
      <c r="E212" s="796"/>
      <c r="F212" s="796"/>
      <c r="G212" s="796"/>
      <c r="H212" s="796"/>
      <c r="I212" s="800"/>
      <c r="J212" s="796"/>
      <c r="K212" s="796"/>
      <c r="L212" s="796"/>
      <c r="M212" s="801"/>
      <c r="N212" s="796"/>
      <c r="O212" s="796"/>
      <c r="P212" s="796"/>
      <c r="Q212" s="798"/>
      <c r="R212" s="798"/>
      <c r="S212" s="798"/>
      <c r="T212" s="798"/>
      <c r="U212" s="796"/>
      <c r="V212" s="796"/>
      <c r="W212" s="796"/>
      <c r="X212" s="796"/>
      <c r="Y212" s="786"/>
      <c r="Z212" s="786"/>
      <c r="AA212" s="786"/>
      <c r="AB212" s="786"/>
      <c r="AC212" s="786"/>
      <c r="AD212" s="798"/>
      <c r="AE212" s="786"/>
      <c r="AF212" s="786"/>
      <c r="AG212" s="786"/>
      <c r="AH212" s="786"/>
      <c r="AI212" s="786"/>
      <c r="AK212" s="409"/>
      <c r="AL212" s="798"/>
      <c r="AM212" s="786"/>
      <c r="AN212" s="786"/>
      <c r="AO212" s="798"/>
      <c r="AP212" s="798"/>
      <c r="AQ212" s="798"/>
      <c r="AR212" s="798"/>
      <c r="AS212" s="799"/>
      <c r="AT212" s="796"/>
    </row>
    <row r="213" spans="1:46" s="423" customFormat="1" ht="19" x14ac:dyDescent="0.25">
      <c r="I213" s="523"/>
      <c r="Q213" s="424"/>
      <c r="R213" s="424"/>
      <c r="S213" s="424"/>
      <c r="T213" s="424"/>
      <c r="Y213" s="432"/>
      <c r="Z213" s="432"/>
      <c r="AA213" s="432"/>
      <c r="AB213" s="432"/>
      <c r="AC213" s="432"/>
      <c r="AD213" s="424"/>
      <c r="AG213" s="432"/>
      <c r="AH213" s="432"/>
      <c r="AI213" s="432"/>
      <c r="AJ213" s="432"/>
      <c r="AK213" s="428"/>
      <c r="AL213" s="424"/>
      <c r="AM213" s="432"/>
      <c r="AN213" s="432"/>
      <c r="AO213" s="424"/>
      <c r="AP213" s="424"/>
      <c r="AQ213" s="424"/>
      <c r="AR213" s="424"/>
      <c r="AS213" s="535"/>
    </row>
    <row r="214" spans="1:46" s="60" customFormat="1" ht="19" x14ac:dyDescent="0.2">
      <c r="A214" s="272"/>
      <c r="B214" s="282"/>
      <c r="C214" s="279"/>
      <c r="D214" s="280"/>
      <c r="E214" s="280"/>
      <c r="F214" s="280"/>
      <c r="G214" s="280"/>
      <c r="H214" s="280"/>
      <c r="I214" s="528"/>
      <c r="J214" s="280"/>
      <c r="K214" s="280"/>
      <c r="L214" s="280"/>
      <c r="M214" s="280"/>
      <c r="N214" s="280"/>
      <c r="O214" s="280"/>
      <c r="P214" s="280"/>
      <c r="Q214" s="532"/>
      <c r="R214" s="532"/>
      <c r="S214" s="532"/>
      <c r="T214" s="532"/>
      <c r="U214" s="280"/>
      <c r="V214" s="280"/>
      <c r="W214" s="280"/>
      <c r="X214" s="280"/>
      <c r="Y214" s="520"/>
      <c r="Z214" s="520"/>
      <c r="AA214" s="520"/>
      <c r="AB214" s="520"/>
      <c r="AC214" s="520"/>
      <c r="AD214" s="532"/>
      <c r="AE214" s="280"/>
      <c r="AF214" s="280"/>
      <c r="AG214" s="520"/>
      <c r="AH214" s="520"/>
      <c r="AI214" s="520"/>
      <c r="AJ214" s="550"/>
      <c r="AK214" s="260"/>
      <c r="AL214" s="52"/>
      <c r="AM214" s="369"/>
      <c r="AN214" s="369"/>
      <c r="AO214" s="386"/>
      <c r="AP214" s="386"/>
      <c r="AQ214" s="533"/>
      <c r="AR214" s="533"/>
      <c r="AS214" s="533"/>
      <c r="AT214" s="533"/>
    </row>
    <row r="215" spans="1:46" s="416" customFormat="1" ht="19" x14ac:dyDescent="0.2">
      <c r="A215" s="559" t="s">
        <v>395</v>
      </c>
      <c r="B215" s="390"/>
      <c r="C215" s="390"/>
      <c r="D215" s="391"/>
      <c r="E215" s="391"/>
      <c r="F215" s="391"/>
      <c r="G215" s="391"/>
      <c r="H215" s="391"/>
      <c r="I215" s="527"/>
      <c r="J215" s="391"/>
      <c r="K215" s="391"/>
      <c r="L215" s="391"/>
      <c r="M215" s="391"/>
      <c r="N215" s="391"/>
      <c r="O215" s="391"/>
      <c r="P215" s="391"/>
      <c r="Q215" s="531"/>
      <c r="R215" s="531"/>
      <c r="S215" s="531"/>
      <c r="T215" s="531"/>
      <c r="U215" s="391"/>
      <c r="V215" s="391"/>
      <c r="W215" s="391"/>
      <c r="X215" s="391"/>
      <c r="Y215" s="519"/>
      <c r="Z215" s="519"/>
      <c r="AA215" s="519"/>
      <c r="AB215" s="519"/>
      <c r="AC215" s="519"/>
      <c r="AD215" s="531"/>
      <c r="AE215" s="391"/>
      <c r="AF215" s="391"/>
      <c r="AG215" s="519"/>
      <c r="AH215" s="519"/>
      <c r="AI215" s="519"/>
      <c r="AJ215" s="519"/>
      <c r="AK215" s="421"/>
      <c r="AL215" s="419"/>
      <c r="AM215" s="538"/>
      <c r="AN215" s="538"/>
      <c r="AO215" s="419"/>
      <c r="AP215" s="421"/>
      <c r="AQ215" s="421"/>
      <c r="AR215" s="421"/>
      <c r="AS215" s="421"/>
      <c r="AT215" s="421"/>
    </row>
    <row r="216" spans="1:46" s="8" customFormat="1" ht="34" x14ac:dyDescent="0.2">
      <c r="A216" s="9" cm="1">
        <f t="array" ref="A216:AT236">_xlfn._xlws.FILTER(cargo_table,inter_shipping_label=A215)</f>
        <v>1.2</v>
      </c>
      <c r="B216" s="38" t="str">
        <v>Drill</v>
      </c>
      <c r="C216" s="11" t="str">
        <v>Driller resupply/refit components -  8'  Container FS3</v>
      </c>
      <c r="D216" s="3" t="str">
        <v>8' Mini Milvan; Consumables/drill components</v>
      </c>
      <c r="E216" s="4">
        <v>96</v>
      </c>
      <c r="F216" s="4">
        <v>86</v>
      </c>
      <c r="G216" s="4">
        <v>96</v>
      </c>
      <c r="H216" s="4">
        <v>1</v>
      </c>
      <c r="I216" s="539">
        <v>459</v>
      </c>
      <c r="J216" s="4">
        <v>459</v>
      </c>
      <c r="K216" s="4">
        <v>6500</v>
      </c>
      <c r="L216" s="4">
        <v>6500</v>
      </c>
      <c r="M216" s="4" t="str">
        <v>estimated</v>
      </c>
      <c r="N216" s="4" t="str">
        <v>-</v>
      </c>
      <c r="O216" s="756" t="str">
        <v xml:space="preserve"> U. Wisc. Madison</v>
      </c>
      <c r="P216" s="758">
        <v>31</v>
      </c>
      <c r="Q216" s="878">
        <v>45839</v>
      </c>
      <c r="R216" s="757">
        <v>45870</v>
      </c>
      <c r="S216" s="757" t="str">
        <v>UWM - PTH</v>
      </c>
      <c r="T216" s="757" t="str">
        <v>Truck</v>
      </c>
      <c r="U216" s="742" t="str">
        <v>PTH - CHC</v>
      </c>
      <c r="V216" s="742" t="str">
        <v>FY26 inter</v>
      </c>
      <c r="W216" s="742" t="str">
        <v>FY26 ComSur</v>
      </c>
      <c r="X216" s="742" t="str">
        <v>USAP Air</v>
      </c>
      <c r="Y216" s="774" t="str">
        <v>-</v>
      </c>
      <c r="Z216" s="774" t="str">
        <v>-</v>
      </c>
      <c r="AA216" s="774" t="str">
        <v>-</v>
      </c>
      <c r="AB216" s="774" t="str">
        <v>-</v>
      </c>
      <c r="AC216" s="774">
        <v>1</v>
      </c>
      <c r="AD216" s="702">
        <v>45962</v>
      </c>
      <c r="AE216" s="363" t="str">
        <v>FY26 intra</v>
      </c>
      <c r="AF216" s="363" t="str">
        <v>FY26 LC-130</v>
      </c>
      <c r="AG216" s="316" t="str">
        <v>-</v>
      </c>
      <c r="AH216" s="316" t="str">
        <v>-</v>
      </c>
      <c r="AI216" s="316" t="str">
        <v>-</v>
      </c>
      <c r="AJ216" s="316">
        <v>1</v>
      </c>
      <c r="AK216" s="53">
        <v>45976</v>
      </c>
      <c r="AL216" s="53">
        <v>45976</v>
      </c>
      <c r="AM216" s="316">
        <v>0</v>
      </c>
      <c r="AN216" s="316">
        <v>106</v>
      </c>
      <c r="AO216" s="316" t="str">
        <v>Yes</v>
      </c>
      <c r="AP216" s="53" t="str">
        <v>D. Gibson</v>
      </c>
      <c r="AQ216" s="53">
        <v>44477</v>
      </c>
      <c r="AR216" s="53" t="str">
        <v>I. McEwen</v>
      </c>
      <c r="AS216" s="53">
        <v>44477</v>
      </c>
      <c r="AT216" s="53" t="str">
        <v>Items identifed in prior field season - 8' container moves with contents overland or by air</v>
      </c>
    </row>
    <row r="217" spans="1:46" s="8" customFormat="1" ht="34" x14ac:dyDescent="0.2">
      <c r="A217" s="9">
        <v>1.2</v>
      </c>
      <c r="B217" s="38" t="str">
        <v>Drill</v>
      </c>
      <c r="C217" s="11" t="str">
        <v>Drill refit components FS3</v>
      </c>
      <c r="D217" s="3" t="str">
        <v>Single crate. Consumables/drill refit components - Do Not Freeze</v>
      </c>
      <c r="E217" s="4">
        <v>96</v>
      </c>
      <c r="F217" s="4">
        <v>48</v>
      </c>
      <c r="G217" s="4">
        <v>48</v>
      </c>
      <c r="H217" s="4">
        <v>1</v>
      </c>
      <c r="I217" s="539">
        <v>128</v>
      </c>
      <c r="J217" s="4">
        <v>128</v>
      </c>
      <c r="K217" s="4">
        <v>3000</v>
      </c>
      <c r="L217" s="4">
        <v>3000</v>
      </c>
      <c r="M217" s="4" t="str">
        <v>estimated</v>
      </c>
      <c r="N217" s="4" t="str">
        <v>DNF</v>
      </c>
      <c r="O217" s="756" t="str">
        <v xml:space="preserve"> U. Wisc. Madison</v>
      </c>
      <c r="P217" s="758">
        <v>31</v>
      </c>
      <c r="Q217" s="878">
        <v>45839</v>
      </c>
      <c r="R217" s="757">
        <v>45870</v>
      </c>
      <c r="S217" s="757" t="str">
        <v>UWM - PTH</v>
      </c>
      <c r="T217" s="757" t="str">
        <v>Truck</v>
      </c>
      <c r="U217" s="742" t="str">
        <v>PTH - CHC</v>
      </c>
      <c r="V217" s="742" t="str">
        <v>FY26 inter</v>
      </c>
      <c r="W217" s="742" t="str">
        <v>FY26 Comsur</v>
      </c>
      <c r="X217" s="742" t="str">
        <v>USAP Air</v>
      </c>
      <c r="Y217" s="774" t="str">
        <v>-</v>
      </c>
      <c r="Z217" s="774" t="str">
        <v>-</v>
      </c>
      <c r="AA217" s="774" t="str">
        <v>-</v>
      </c>
      <c r="AB217" s="774" t="str">
        <v>-</v>
      </c>
      <c r="AC217" s="774">
        <v>0.5</v>
      </c>
      <c r="AD217" s="702">
        <v>45962</v>
      </c>
      <c r="AE217" s="363" t="str">
        <v>FY26 intra</v>
      </c>
      <c r="AF217" s="363" t="str">
        <v>FY26 LC-130</v>
      </c>
      <c r="AG217" s="316" t="str">
        <v>-</v>
      </c>
      <c r="AH217" s="316" t="str">
        <v>-</v>
      </c>
      <c r="AI217" s="316" t="str">
        <v>-</v>
      </c>
      <c r="AJ217" s="316">
        <v>0.5</v>
      </c>
      <c r="AK217" s="53">
        <v>45976</v>
      </c>
      <c r="AL217" s="53">
        <v>45976</v>
      </c>
      <c r="AM217" s="316">
        <v>0</v>
      </c>
      <c r="AN217" s="316">
        <v>106</v>
      </c>
      <c r="AO217" s="316" t="str">
        <v>Yes</v>
      </c>
      <c r="AP217" s="53" t="str">
        <v>D. Gibson</v>
      </c>
      <c r="AQ217" s="53">
        <v>44477</v>
      </c>
      <c r="AR217" s="53" t="str">
        <v>I. McEwen</v>
      </c>
      <c r="AS217" s="53">
        <v>44477</v>
      </c>
      <c r="AT217" s="53" t="str">
        <v>Items identifed in prior field season</v>
      </c>
    </row>
    <row r="218" spans="1:46" s="8" customFormat="1" ht="34" x14ac:dyDescent="0.2">
      <c r="A218" s="9">
        <v>1.2</v>
      </c>
      <c r="B218" s="38" t="str">
        <v>Installation</v>
      </c>
      <c r="C218" s="11" t="str">
        <v>Misc. Science Equipment - FS3 (FY26)</v>
      </c>
      <c r="D218" s="3" t="str">
        <v>Scientific and test equipment - Do Not Freeze [science supplies for FS3]</v>
      </c>
      <c r="E218" s="4">
        <v>48</v>
      </c>
      <c r="F218" s="4">
        <v>48</v>
      </c>
      <c r="G218" s="4">
        <v>48</v>
      </c>
      <c r="H218" s="4">
        <v>1</v>
      </c>
      <c r="I218" s="539">
        <v>64</v>
      </c>
      <c r="J218" s="4">
        <v>64</v>
      </c>
      <c r="K218" s="4">
        <v>1500</v>
      </c>
      <c r="L218" s="4">
        <v>1500</v>
      </c>
      <c r="M218" s="4" t="str">
        <v>estimated</v>
      </c>
      <c r="N218" s="4" t="str">
        <v>DNF</v>
      </c>
      <c r="O218" s="756" t="str">
        <v xml:space="preserve"> U. Wisc. Madison</v>
      </c>
      <c r="P218" s="758">
        <v>25</v>
      </c>
      <c r="Q218" s="878">
        <v>45845</v>
      </c>
      <c r="R218" s="757">
        <v>45870</v>
      </c>
      <c r="S218" s="757" t="str">
        <v>UWM - PTH</v>
      </c>
      <c r="T218" s="757" t="str">
        <v>Truck</v>
      </c>
      <c r="U218" s="742" t="str">
        <v>PTH - CHC</v>
      </c>
      <c r="V218" s="742" t="str">
        <v>FY26 inter</v>
      </c>
      <c r="W218" s="742" t="str">
        <v>FY26 ComSur</v>
      </c>
      <c r="X218" s="742" t="str">
        <v>USAP Air</v>
      </c>
      <c r="Y218" s="774" t="str">
        <v>-</v>
      </c>
      <c r="Z218" s="774" t="str">
        <v>-</v>
      </c>
      <c r="AA218" s="774" t="str">
        <v>-</v>
      </c>
      <c r="AB218" s="774" t="str">
        <v>-</v>
      </c>
      <c r="AC218" s="774">
        <v>0.25</v>
      </c>
      <c r="AD218" s="702">
        <v>45962</v>
      </c>
      <c r="AE218" s="363" t="str">
        <v>FY26 intra</v>
      </c>
      <c r="AF218" s="363" t="str">
        <v>FY26 LC-130</v>
      </c>
      <c r="AG218" s="316" t="str">
        <v>-</v>
      </c>
      <c r="AH218" s="316" t="str">
        <v>-</v>
      </c>
      <c r="AI218" s="316" t="str">
        <v>-</v>
      </c>
      <c r="AJ218" s="316">
        <v>0.25</v>
      </c>
      <c r="AK218" s="53">
        <v>45976</v>
      </c>
      <c r="AL218" s="53">
        <v>45992</v>
      </c>
      <c r="AM218" s="316">
        <v>16</v>
      </c>
      <c r="AN218" s="316">
        <v>122</v>
      </c>
      <c r="AO218" s="316" t="str">
        <v>Yes</v>
      </c>
      <c r="AP218" s="53" t="str">
        <v>D. Tosi</v>
      </c>
      <c r="AQ218" s="53">
        <v>44477</v>
      </c>
      <c r="AR218" s="53" t="str">
        <v>D. Tosi</v>
      </c>
      <c r="AS218" s="53">
        <v>44477</v>
      </c>
      <c r="AT218" s="53" t="str">
        <v>-</v>
      </c>
    </row>
    <row r="219" spans="1:46" s="8" customFormat="1" ht="51" x14ac:dyDescent="0.2">
      <c r="A219" s="275">
        <v>1.3</v>
      </c>
      <c r="B219" s="276" t="str">
        <v>Installation</v>
      </c>
      <c r="C219" s="277" t="str">
        <v>Special Devices 89-93</v>
      </c>
      <c r="D219" s="278" t="str">
        <v>Special devices for 5 remaining strings from UW (4+1 FOM,2+1 Radio Receivers, 11+1 LOM + seismometer*) - Do Not Deep Freeze</v>
      </c>
      <c r="E219" s="4">
        <v>81</v>
      </c>
      <c r="F219" s="4">
        <v>56</v>
      </c>
      <c r="G219" s="4">
        <v>51</v>
      </c>
      <c r="H219" s="4">
        <v>1</v>
      </c>
      <c r="I219" s="539">
        <v>134</v>
      </c>
      <c r="J219" s="4">
        <v>134</v>
      </c>
      <c r="K219" s="4">
        <v>1797</v>
      </c>
      <c r="L219" s="4">
        <v>1797</v>
      </c>
      <c r="M219" s="4" t="str">
        <v>estimated</v>
      </c>
      <c r="N219" s="4" t="str">
        <v>DNDF [-40C]</v>
      </c>
      <c r="O219" s="756" t="str">
        <v>UWM/Kansas</v>
      </c>
      <c r="P219" s="758">
        <v>61</v>
      </c>
      <c r="Q219" s="878">
        <v>45809</v>
      </c>
      <c r="R219" s="757">
        <v>45870</v>
      </c>
      <c r="S219" s="757" t="str">
        <v>UWM - PTH</v>
      </c>
      <c r="T219" s="757" t="str">
        <v>Truck</v>
      </c>
      <c r="U219" s="742" t="str">
        <v>PTH - CHC</v>
      </c>
      <c r="V219" s="742" t="str">
        <v>FY26 inter</v>
      </c>
      <c r="W219" s="742" t="str">
        <v>FY26 ComSur</v>
      </c>
      <c r="X219" s="742" t="str">
        <v>USAP Air</v>
      </c>
      <c r="Y219" s="774" t="str">
        <v>-</v>
      </c>
      <c r="Z219" s="774" t="str">
        <v>-</v>
      </c>
      <c r="AA219" s="774" t="str">
        <v>-</v>
      </c>
      <c r="AB219" s="774" t="str">
        <v>-</v>
      </c>
      <c r="AC219" s="774">
        <v>1.5</v>
      </c>
      <c r="AD219" s="702">
        <v>45962</v>
      </c>
      <c r="AE219" s="363" t="str">
        <v>FY26 intra</v>
      </c>
      <c r="AF219" s="363" t="str">
        <v>FY26 LC-130</v>
      </c>
      <c r="AG219" s="316" t="str">
        <v>-</v>
      </c>
      <c r="AH219" s="316" t="str">
        <v>-</v>
      </c>
      <c r="AI219" s="316" t="str">
        <v>-</v>
      </c>
      <c r="AJ219" s="316">
        <v>1.5</v>
      </c>
      <c r="AK219" s="53">
        <v>45986</v>
      </c>
      <c r="AL219" s="53">
        <v>46001</v>
      </c>
      <c r="AM219" s="316">
        <v>15</v>
      </c>
      <c r="AN219" s="316">
        <v>131</v>
      </c>
      <c r="AO219" s="316" t="str">
        <v>Yes</v>
      </c>
      <c r="AP219" s="53" t="str">
        <v>S. Boeser</v>
      </c>
      <c r="AQ219" s="53">
        <v>44482</v>
      </c>
      <c r="AR219" s="53" t="str">
        <v>D. Tosi</v>
      </c>
      <c r="AS219" s="53">
        <v>44482</v>
      </c>
      <c r="AT219" s="53" t="str">
        <v xml:space="preserve">21 Special Devices from USA (11+ 1 LOM, 4+1 FOM, 2+1 RR, FTS ? , seismometer), assume mDOM weight. 200 lbs wood crate. FTS not included. (*) Seismometer not yet in CMD </v>
      </c>
    </row>
    <row r="220" spans="1:46" s="8" customFormat="1" ht="34" x14ac:dyDescent="0.2">
      <c r="A220" s="9">
        <v>1.5</v>
      </c>
      <c r="B220" s="38" t="str">
        <v>Installation</v>
      </c>
      <c r="C220" s="11" t="str">
        <v>Calibration/Special Devices  89-93</v>
      </c>
      <c r="D220" s="3" t="str">
        <v>8+1 PencilBeams, 12+1 pDOMs from UW - Do Not Deep Freeze</v>
      </c>
      <c r="E220" s="4">
        <v>75</v>
      </c>
      <c r="F220" s="4">
        <v>56.5</v>
      </c>
      <c r="G220" s="4">
        <v>41</v>
      </c>
      <c r="H220" s="4">
        <v>1</v>
      </c>
      <c r="I220" s="539">
        <v>101</v>
      </c>
      <c r="J220" s="4">
        <v>101</v>
      </c>
      <c r="K220" s="4">
        <v>1602</v>
      </c>
      <c r="L220" s="4">
        <v>1602</v>
      </c>
      <c r="M220" s="4" t="str">
        <v>preliminary</v>
      </c>
      <c r="N220" s="4" t="str">
        <v>DNDF [-40C]</v>
      </c>
      <c r="O220" s="756" t="str">
        <v xml:space="preserve"> U. Wisc. Madison</v>
      </c>
      <c r="P220" s="758">
        <v>61</v>
      </c>
      <c r="Q220" s="878">
        <v>45809</v>
      </c>
      <c r="R220" s="757">
        <v>45870</v>
      </c>
      <c r="S220" s="757" t="str">
        <v>UWM - PTH</v>
      </c>
      <c r="T220" s="757" t="str">
        <v>Truck</v>
      </c>
      <c r="U220" s="742" t="str">
        <v>PTH - CHC</v>
      </c>
      <c r="V220" s="742" t="str">
        <v>FY26 inter</v>
      </c>
      <c r="W220" s="742" t="str">
        <v>FY26 ComSur</v>
      </c>
      <c r="X220" s="742" t="str">
        <v>USAP Air</v>
      </c>
      <c r="Y220" s="774" t="str">
        <v>-</v>
      </c>
      <c r="Z220" s="774" t="str">
        <v>-</v>
      </c>
      <c r="AA220" s="774" t="str">
        <v>-</v>
      </c>
      <c r="AB220" s="774" t="str">
        <v>-</v>
      </c>
      <c r="AC220" s="774">
        <v>0.5</v>
      </c>
      <c r="AD220" s="702">
        <v>45962</v>
      </c>
      <c r="AE220" s="363" t="str">
        <v>FY26 intra</v>
      </c>
      <c r="AF220" s="363" t="str">
        <v>FY26 LC-130</v>
      </c>
      <c r="AG220" s="316" t="str">
        <v>-</v>
      </c>
      <c r="AH220" s="316" t="str">
        <v>-</v>
      </c>
      <c r="AI220" s="316" t="str">
        <v>-</v>
      </c>
      <c r="AJ220" s="316">
        <v>0.5</v>
      </c>
      <c r="AK220" s="53">
        <v>45986</v>
      </c>
      <c r="AL220" s="53">
        <v>46001</v>
      </c>
      <c r="AM220" s="316">
        <v>15</v>
      </c>
      <c r="AN220" s="316">
        <v>131</v>
      </c>
      <c r="AO220" s="316" t="str">
        <v>Yes</v>
      </c>
      <c r="AP220" s="53" t="str">
        <v>D. Williams</v>
      </c>
      <c r="AQ220" s="53">
        <v>44482</v>
      </c>
      <c r="AR220" s="53" t="str">
        <v>D. Tosi</v>
      </c>
      <c r="AS220" s="53">
        <v>44474</v>
      </c>
      <c r="AT220" s="53" t="str">
        <v xml:space="preserve">8+1 PencilBeams for strings 89-93, 12+1 pDOMs, assume mDOM weight. 244 lbs crate. </v>
      </c>
    </row>
    <row r="221" spans="1:46" s="8" customFormat="1" ht="34" x14ac:dyDescent="0.2">
      <c r="A221" s="9">
        <v>1.5</v>
      </c>
      <c r="B221" s="38" t="str">
        <v>Installation</v>
      </c>
      <c r="C221" s="11" t="str">
        <v>Dust logging device</v>
      </c>
      <c r="D221" s="3" t="str">
        <v>Blue Logging device - sensitive equipment - Do Not Freeze</v>
      </c>
      <c r="E221" s="4">
        <v>48</v>
      </c>
      <c r="F221" s="4">
        <v>17</v>
      </c>
      <c r="G221" s="4">
        <v>17</v>
      </c>
      <c r="H221" s="4">
        <v>1</v>
      </c>
      <c r="I221" s="539">
        <v>9</v>
      </c>
      <c r="J221" s="4">
        <v>9</v>
      </c>
      <c r="K221" s="4">
        <v>60</v>
      </c>
      <c r="L221" s="4">
        <v>60</v>
      </c>
      <c r="M221" s="4" t="str">
        <v>actual</v>
      </c>
      <c r="N221" s="4" t="str">
        <v>DNF</v>
      </c>
      <c r="O221" s="756" t="str">
        <v xml:space="preserve"> U. Wisc. Madison</v>
      </c>
      <c r="P221" s="758">
        <v>61</v>
      </c>
      <c r="Q221" s="878">
        <v>45809</v>
      </c>
      <c r="R221" s="757">
        <v>45870</v>
      </c>
      <c r="S221" s="757" t="str">
        <v>UWM - PTH</v>
      </c>
      <c r="T221" s="757" t="str">
        <v>Truck</v>
      </c>
      <c r="U221" s="742" t="str">
        <v>PTH - CHC</v>
      </c>
      <c r="V221" s="742" t="str">
        <v>FY26 inter</v>
      </c>
      <c r="W221" s="742" t="str">
        <v>FY26 ComSur</v>
      </c>
      <c r="X221" s="742" t="str">
        <v>USAP Air</v>
      </c>
      <c r="Y221" s="774" t="str">
        <v>-</v>
      </c>
      <c r="Z221" s="774" t="str">
        <v>-</v>
      </c>
      <c r="AA221" s="774" t="str">
        <v>-</v>
      </c>
      <c r="AB221" s="774" t="str">
        <v>-</v>
      </c>
      <c r="AC221" s="774">
        <v>6.25E-2</v>
      </c>
      <c r="AD221" s="702">
        <v>45962</v>
      </c>
      <c r="AE221" s="363" t="str">
        <v>FY26 intra</v>
      </c>
      <c r="AF221" s="363" t="str">
        <v>FY26 LC-130</v>
      </c>
      <c r="AG221" s="316" t="str">
        <v>-</v>
      </c>
      <c r="AH221" s="316" t="str">
        <v>-</v>
      </c>
      <c r="AI221" s="316" t="str">
        <v>-</v>
      </c>
      <c r="AJ221" s="316">
        <v>6.25E-2</v>
      </c>
      <c r="AK221" s="53">
        <v>45986</v>
      </c>
      <c r="AL221" s="53">
        <v>46001</v>
      </c>
      <c r="AM221" s="316">
        <v>15</v>
      </c>
      <c r="AN221" s="316">
        <v>131</v>
      </c>
      <c r="AO221" s="316" t="str">
        <v>Yes</v>
      </c>
      <c r="AP221" s="53" t="str">
        <v>D. Williams</v>
      </c>
      <c r="AQ221" s="53">
        <v>44483</v>
      </c>
      <c r="AR221" s="53" t="str">
        <v>D. Tosi</v>
      </c>
      <c r="AS221" s="53">
        <v>44457</v>
      </c>
      <c r="AT221" s="53" t="str">
        <v>Used weights from last deployment season shipment data (could be combined)</v>
      </c>
    </row>
    <row r="222" spans="1:46" s="8" customFormat="1" ht="34" x14ac:dyDescent="0.2">
      <c r="A222" s="9">
        <v>1.5</v>
      </c>
      <c r="B222" s="38" t="str">
        <v>Installation</v>
      </c>
      <c r="C222" s="11" t="str">
        <v>Dust logging device</v>
      </c>
      <c r="D222" s="3" t="str">
        <v>Green Logging device - sensitive equipment - Do Not Freeze</v>
      </c>
      <c r="E222" s="4">
        <v>48</v>
      </c>
      <c r="F222" s="4">
        <v>17</v>
      </c>
      <c r="G222" s="4">
        <v>17</v>
      </c>
      <c r="H222" s="4">
        <v>1</v>
      </c>
      <c r="I222" s="539">
        <v>9</v>
      </c>
      <c r="J222" s="4">
        <v>9</v>
      </c>
      <c r="K222" s="4">
        <v>60</v>
      </c>
      <c r="L222" s="4">
        <v>60</v>
      </c>
      <c r="M222" s="4" t="str">
        <v>actual</v>
      </c>
      <c r="N222" s="4" t="str">
        <v>DNF</v>
      </c>
      <c r="O222" s="756" t="str">
        <v xml:space="preserve"> U. Wisc. Madison</v>
      </c>
      <c r="P222" s="758">
        <v>61</v>
      </c>
      <c r="Q222" s="878">
        <v>45809</v>
      </c>
      <c r="R222" s="757">
        <v>45870</v>
      </c>
      <c r="S222" s="757" t="str">
        <v>UWM - PTH</v>
      </c>
      <c r="T222" s="757" t="str">
        <v>Truck</v>
      </c>
      <c r="U222" s="742" t="str">
        <v>PTH - CHC</v>
      </c>
      <c r="V222" s="742" t="str">
        <v>FY26 inter</v>
      </c>
      <c r="W222" s="742" t="str">
        <v>FY26 ComSur</v>
      </c>
      <c r="X222" s="742" t="str">
        <v>USAP Air</v>
      </c>
      <c r="Y222" s="774" t="str">
        <v>-</v>
      </c>
      <c r="Z222" s="774" t="str">
        <v>-</v>
      </c>
      <c r="AA222" s="774" t="str">
        <v>-</v>
      </c>
      <c r="AB222" s="774" t="str">
        <v>-</v>
      </c>
      <c r="AC222" s="774">
        <v>6.25E-2</v>
      </c>
      <c r="AD222" s="702">
        <v>45962</v>
      </c>
      <c r="AE222" s="363" t="str">
        <v>FY26 intra</v>
      </c>
      <c r="AF222" s="363" t="str">
        <v>FY26 LC-130</v>
      </c>
      <c r="AG222" s="316" t="str">
        <v>-</v>
      </c>
      <c r="AH222" s="316" t="str">
        <v>-</v>
      </c>
      <c r="AI222" s="316" t="str">
        <v>-</v>
      </c>
      <c r="AJ222" s="316">
        <v>6.25E-2</v>
      </c>
      <c r="AK222" s="53">
        <v>45986</v>
      </c>
      <c r="AL222" s="53">
        <v>46001</v>
      </c>
      <c r="AM222" s="316">
        <v>15</v>
      </c>
      <c r="AN222" s="316">
        <v>131</v>
      </c>
      <c r="AO222" s="316" t="str">
        <v>Yes</v>
      </c>
      <c r="AP222" s="53" t="str">
        <v>D. Williams</v>
      </c>
      <c r="AQ222" s="53">
        <v>44483</v>
      </c>
      <c r="AR222" s="53" t="str">
        <v>D. Tosi</v>
      </c>
      <c r="AS222" s="53">
        <v>44458</v>
      </c>
      <c r="AT222" s="53" t="str">
        <v>Used weights from last deployment season shipment data (could be combined)</v>
      </c>
    </row>
    <row r="223" spans="1:46" s="8" customFormat="1" ht="34" x14ac:dyDescent="0.2">
      <c r="A223" s="275">
        <v>1.5</v>
      </c>
      <c r="B223" s="276" t="str">
        <v>Installation</v>
      </c>
      <c r="C223" s="277" t="str">
        <v>Dust logging device</v>
      </c>
      <c r="D223" s="278" t="str">
        <v>Electronics parts - sensitive equipment - Do Not Freeze</v>
      </c>
      <c r="E223" s="4">
        <v>26</v>
      </c>
      <c r="F223" s="4">
        <v>24</v>
      </c>
      <c r="G223" s="4">
        <v>24</v>
      </c>
      <c r="H223" s="4">
        <v>1</v>
      </c>
      <c r="I223" s="539">
        <v>9</v>
      </c>
      <c r="J223" s="4">
        <v>9</v>
      </c>
      <c r="K223" s="4">
        <v>120</v>
      </c>
      <c r="L223" s="4">
        <v>120</v>
      </c>
      <c r="M223" s="4" t="str">
        <v>actual</v>
      </c>
      <c r="N223" s="4" t="str">
        <v>DNF</v>
      </c>
      <c r="O223" s="756" t="str">
        <v xml:space="preserve"> U. Wisc. Madison</v>
      </c>
      <c r="P223" s="758">
        <v>61</v>
      </c>
      <c r="Q223" s="878">
        <v>45809</v>
      </c>
      <c r="R223" s="757">
        <v>45870</v>
      </c>
      <c r="S223" s="757" t="str">
        <v>UWM - PTH</v>
      </c>
      <c r="T223" s="757" t="str">
        <v>Truck</v>
      </c>
      <c r="U223" s="742" t="str">
        <v>PTH - CHC</v>
      </c>
      <c r="V223" s="742" t="str">
        <v>FY26 inter</v>
      </c>
      <c r="W223" s="742" t="str">
        <v>FY26 ComSur</v>
      </c>
      <c r="X223" s="742" t="str">
        <v>USAP Air</v>
      </c>
      <c r="Y223" s="774" t="str">
        <v>-</v>
      </c>
      <c r="Z223" s="774" t="str">
        <v>-</v>
      </c>
      <c r="AA223" s="774" t="str">
        <v>-</v>
      </c>
      <c r="AB223" s="774" t="str">
        <v>-</v>
      </c>
      <c r="AC223" s="774">
        <v>6.25E-2</v>
      </c>
      <c r="AD223" s="702">
        <v>45962</v>
      </c>
      <c r="AE223" s="363" t="str">
        <v>FY26 intra</v>
      </c>
      <c r="AF223" s="363" t="str">
        <v>FY26 LC-130</v>
      </c>
      <c r="AG223" s="316" t="str">
        <v>-</v>
      </c>
      <c r="AH223" s="316" t="str">
        <v>-</v>
      </c>
      <c r="AI223" s="316" t="str">
        <v>-</v>
      </c>
      <c r="AJ223" s="316">
        <v>6.25E-2</v>
      </c>
      <c r="AK223" s="53">
        <v>45986</v>
      </c>
      <c r="AL223" s="53">
        <v>46001</v>
      </c>
      <c r="AM223" s="316">
        <v>15</v>
      </c>
      <c r="AN223" s="316">
        <v>131</v>
      </c>
      <c r="AO223" s="316" t="str">
        <v>Yes</v>
      </c>
      <c r="AP223" s="53" t="str">
        <v>D. Williams</v>
      </c>
      <c r="AQ223" s="53">
        <v>44483</v>
      </c>
      <c r="AR223" s="53" t="str">
        <v>D. Tosi</v>
      </c>
      <c r="AS223" s="53">
        <v>44459</v>
      </c>
      <c r="AT223" s="53" t="str">
        <v>Used weights from last deployment season shipment data (could be combined)</v>
      </c>
    </row>
    <row r="224" spans="1:46" s="8" customFormat="1" ht="34" x14ac:dyDescent="0.2">
      <c r="A224" s="9">
        <v>1.5</v>
      </c>
      <c r="B224" s="38" t="str">
        <v>Installation</v>
      </c>
      <c r="C224" s="11" t="str">
        <v>Dust logging device</v>
      </c>
      <c r="D224" s="3" t="str">
        <v>Electronics parts - sensitive equipment - Do Not Freeze</v>
      </c>
      <c r="E224" s="4">
        <v>26</v>
      </c>
      <c r="F224" s="4">
        <v>23</v>
      </c>
      <c r="G224" s="4">
        <v>20</v>
      </c>
      <c r="H224" s="4">
        <v>1</v>
      </c>
      <c r="I224" s="539">
        <v>7</v>
      </c>
      <c r="J224" s="4">
        <v>7</v>
      </c>
      <c r="K224" s="4">
        <v>60</v>
      </c>
      <c r="L224" s="4">
        <v>60</v>
      </c>
      <c r="M224" s="4" t="str">
        <v>actual</v>
      </c>
      <c r="N224" s="4" t="str">
        <v>DNF</v>
      </c>
      <c r="O224" s="756" t="str">
        <v xml:space="preserve"> U. Wisc. Madison</v>
      </c>
      <c r="P224" s="758">
        <v>61</v>
      </c>
      <c r="Q224" s="878">
        <v>45809</v>
      </c>
      <c r="R224" s="757">
        <v>45870</v>
      </c>
      <c r="S224" s="757" t="str">
        <v>UWM - PTH</v>
      </c>
      <c r="T224" s="757" t="str">
        <v>Truck</v>
      </c>
      <c r="U224" s="742" t="str">
        <v>PTH - CHC</v>
      </c>
      <c r="V224" s="742" t="str">
        <v>FY26 inter</v>
      </c>
      <c r="W224" s="742" t="str">
        <v>FY26 ComSur</v>
      </c>
      <c r="X224" s="742" t="str">
        <v>USAP Air</v>
      </c>
      <c r="Y224" s="774" t="str">
        <v>-</v>
      </c>
      <c r="Z224" s="774" t="str">
        <v>-</v>
      </c>
      <c r="AA224" s="774" t="str">
        <v>-</v>
      </c>
      <c r="AB224" s="774" t="str">
        <v>-</v>
      </c>
      <c r="AC224" s="774">
        <v>6.25E-2</v>
      </c>
      <c r="AD224" s="702">
        <v>45962</v>
      </c>
      <c r="AE224" s="363" t="str">
        <v>FY26 intra</v>
      </c>
      <c r="AF224" s="363" t="str">
        <v>FY26 LC-130</v>
      </c>
      <c r="AG224" s="316" t="str">
        <v>-</v>
      </c>
      <c r="AH224" s="316" t="str">
        <v>-</v>
      </c>
      <c r="AI224" s="316" t="str">
        <v>-</v>
      </c>
      <c r="AJ224" s="316">
        <v>6.25E-2</v>
      </c>
      <c r="AK224" s="53">
        <v>45986</v>
      </c>
      <c r="AL224" s="53">
        <v>46001</v>
      </c>
      <c r="AM224" s="316">
        <v>15</v>
      </c>
      <c r="AN224" s="316">
        <v>131</v>
      </c>
      <c r="AO224" s="316" t="str">
        <v>Yes</v>
      </c>
      <c r="AP224" s="53" t="str">
        <v>D. Williams</v>
      </c>
      <c r="AQ224" s="53">
        <v>44483</v>
      </c>
      <c r="AR224" s="53" t="str">
        <v>D. Tosi</v>
      </c>
      <c r="AS224" s="53">
        <v>44460</v>
      </c>
      <c r="AT224" s="53" t="str">
        <v>Used weights from last deployment season shipment data (could be combined)</v>
      </c>
    </row>
    <row r="225" spans="1:46" s="8" customFormat="1" ht="34" x14ac:dyDescent="0.2">
      <c r="A225" s="9">
        <v>1.5</v>
      </c>
      <c r="B225" s="38" t="str">
        <v>Installation</v>
      </c>
      <c r="C225" s="11" t="str">
        <v>Logging winch</v>
      </c>
      <c r="D225" s="3" t="str">
        <v xml:space="preserve">Winch to be used for Dust Logging </v>
      </c>
      <c r="E225" s="4">
        <v>86</v>
      </c>
      <c r="F225" s="4">
        <v>60</v>
      </c>
      <c r="G225" s="4">
        <v>68</v>
      </c>
      <c r="H225" s="4">
        <v>1</v>
      </c>
      <c r="I225" s="539">
        <v>204</v>
      </c>
      <c r="J225" s="4">
        <v>204</v>
      </c>
      <c r="K225" s="4">
        <v>3500</v>
      </c>
      <c r="L225" s="4">
        <v>3500</v>
      </c>
      <c r="M225" s="4" t="str">
        <v>preliminary</v>
      </c>
      <c r="N225" s="4">
        <v>0</v>
      </c>
      <c r="O225" s="756" t="str">
        <v xml:space="preserve"> U. Wisc. Madison</v>
      </c>
      <c r="P225" s="758">
        <v>61</v>
      </c>
      <c r="Q225" s="878">
        <v>45809</v>
      </c>
      <c r="R225" s="757">
        <v>45870</v>
      </c>
      <c r="S225" s="757" t="str">
        <v>UWM - PTH</v>
      </c>
      <c r="T225" s="757" t="str">
        <v>Truck</v>
      </c>
      <c r="U225" s="742" t="str">
        <v>PTH - CHC</v>
      </c>
      <c r="V225" s="742" t="str">
        <v>FY26 inter</v>
      </c>
      <c r="W225" s="742" t="str">
        <v>FY26 ComSur</v>
      </c>
      <c r="X225" s="742" t="str">
        <v>USAP Air</v>
      </c>
      <c r="Y225" s="774" t="str">
        <v>-</v>
      </c>
      <c r="Z225" s="774" t="str">
        <v>-</v>
      </c>
      <c r="AA225" s="774" t="str">
        <v>-</v>
      </c>
      <c r="AB225" s="774" t="str">
        <v>-</v>
      </c>
      <c r="AC225" s="774">
        <v>0.5</v>
      </c>
      <c r="AD225" s="702">
        <v>45962</v>
      </c>
      <c r="AE225" s="363" t="str">
        <v>FY26 intra</v>
      </c>
      <c r="AF225" s="363" t="str">
        <v>FY26 LC-130</v>
      </c>
      <c r="AG225" s="316" t="str">
        <v>-</v>
      </c>
      <c r="AH225" s="316" t="str">
        <v>-</v>
      </c>
      <c r="AI225" s="316" t="str">
        <v>-</v>
      </c>
      <c r="AJ225" s="316">
        <v>0.5</v>
      </c>
      <c r="AK225" s="53">
        <v>45986</v>
      </c>
      <c r="AL225" s="53">
        <v>46001</v>
      </c>
      <c r="AM225" s="316">
        <v>15</v>
      </c>
      <c r="AN225" s="316">
        <v>131</v>
      </c>
      <c r="AO225" s="316" t="str">
        <v>Yes</v>
      </c>
      <c r="AP225" s="53" t="str">
        <v>D. Tosi</v>
      </c>
      <c r="AQ225" s="53">
        <v>44477</v>
      </c>
      <c r="AR225" s="53" t="str">
        <v>I. McEwen</v>
      </c>
      <c r="AS225" s="53">
        <v>44477</v>
      </c>
      <c r="AT225" s="53" t="str">
        <v>Used weights and cubes of IDP deep logging winch. Send back end of season</v>
      </c>
    </row>
    <row r="226" spans="1:46" s="8" customFormat="1" ht="34" x14ac:dyDescent="0.2">
      <c r="A226" s="9">
        <v>1.5</v>
      </c>
      <c r="B226" s="38" t="str">
        <v>Installation</v>
      </c>
      <c r="C226" s="11" t="str">
        <v>Logging winch control box</v>
      </c>
      <c r="D226" s="3" t="str">
        <v>Control Box for winch for Dust Logging  - sensitive equipment - Do Not Freeze</v>
      </c>
      <c r="E226" s="4">
        <v>48</v>
      </c>
      <c r="F226" s="4">
        <v>48</v>
      </c>
      <c r="G226" s="4">
        <v>36</v>
      </c>
      <c r="H226" s="4">
        <v>1</v>
      </c>
      <c r="I226" s="539">
        <v>48</v>
      </c>
      <c r="J226" s="4">
        <v>48</v>
      </c>
      <c r="K226" s="4">
        <v>400</v>
      </c>
      <c r="L226" s="4">
        <v>400</v>
      </c>
      <c r="M226" s="4" t="str">
        <v>preliminary</v>
      </c>
      <c r="N226" s="4" t="str">
        <v>DNF</v>
      </c>
      <c r="O226" s="756" t="str">
        <v xml:space="preserve"> U. Wisc. Madison</v>
      </c>
      <c r="P226" s="758">
        <v>61</v>
      </c>
      <c r="Q226" s="878">
        <v>45809</v>
      </c>
      <c r="R226" s="757">
        <v>45870</v>
      </c>
      <c r="S226" s="757" t="str">
        <v>UWM - PTH</v>
      </c>
      <c r="T226" s="757" t="str">
        <v>Truck</v>
      </c>
      <c r="U226" s="742" t="str">
        <v>PTH - CHC</v>
      </c>
      <c r="V226" s="742" t="str">
        <v>FY26 inter</v>
      </c>
      <c r="W226" s="742" t="str">
        <v>FY26 ComSur</v>
      </c>
      <c r="X226" s="742" t="str">
        <v>USAP Air</v>
      </c>
      <c r="Y226" s="774" t="str">
        <v>-</v>
      </c>
      <c r="Z226" s="774" t="str">
        <v>-</v>
      </c>
      <c r="AA226" s="774" t="str">
        <v>-</v>
      </c>
      <c r="AB226" s="774" t="str">
        <v>-</v>
      </c>
      <c r="AC226" s="774">
        <v>0.25</v>
      </c>
      <c r="AD226" s="702">
        <v>45962</v>
      </c>
      <c r="AE226" s="363" t="str">
        <v>FY26 intra</v>
      </c>
      <c r="AF226" s="363" t="str">
        <v>FY26 LC-130</v>
      </c>
      <c r="AG226" s="316" t="str">
        <v>-</v>
      </c>
      <c r="AH226" s="316" t="str">
        <v>-</v>
      </c>
      <c r="AI226" s="316" t="str">
        <v>-</v>
      </c>
      <c r="AJ226" s="316">
        <v>0.25</v>
      </c>
      <c r="AK226" s="53">
        <v>45986</v>
      </c>
      <c r="AL226" s="53">
        <v>46001</v>
      </c>
      <c r="AM226" s="316">
        <v>15</v>
      </c>
      <c r="AN226" s="316">
        <v>131</v>
      </c>
      <c r="AO226" s="316" t="str">
        <v>Yes</v>
      </c>
      <c r="AP226" s="53" t="str">
        <v>D. Tosi</v>
      </c>
      <c r="AQ226" s="53">
        <v>44477</v>
      </c>
      <c r="AR226" s="53" t="str">
        <v>I. McEwen</v>
      </c>
      <c r="AS226" s="53">
        <v>44477</v>
      </c>
      <c r="AT226" s="53" t="str">
        <v>Used weights and cubes of IDP deep logging winch. Send back end of season</v>
      </c>
    </row>
    <row r="227" spans="1:46" s="8" customFormat="1" ht="85" x14ac:dyDescent="0.2">
      <c r="A227" s="275">
        <v>1.3</v>
      </c>
      <c r="B227" s="276" t="str">
        <v>Installation</v>
      </c>
      <c r="C227" s="277" t="str">
        <v>String Sensors 89-93 (mDOMs MSU)</v>
      </c>
      <c r="D227" s="278" t="str">
        <v>Optical Sensors for 5 strings from MSU (mDOMs) - Do Not Deep Freeze</v>
      </c>
      <c r="E227" s="4">
        <v>40</v>
      </c>
      <c r="F227" s="4">
        <v>48</v>
      </c>
      <c r="G227" s="4">
        <v>46</v>
      </c>
      <c r="H227" s="4">
        <v>25</v>
      </c>
      <c r="I227" s="539">
        <v>52</v>
      </c>
      <c r="J227" s="4">
        <v>1300</v>
      </c>
      <c r="K227" s="4">
        <v>573</v>
      </c>
      <c r="L227" s="4">
        <v>14325</v>
      </c>
      <c r="M227" s="4" t="str">
        <v>actual(**)</v>
      </c>
      <c r="N227" s="4" t="str">
        <v>DNDF [-40C]</v>
      </c>
      <c r="O227" s="756" t="str">
        <v>MSU</v>
      </c>
      <c r="P227" s="758">
        <v>686</v>
      </c>
      <c r="Q227" s="878">
        <v>45184</v>
      </c>
      <c r="R227" s="757">
        <v>45870</v>
      </c>
      <c r="S227" s="757" t="str">
        <v>MSU - PTH</v>
      </c>
      <c r="T227" s="757" t="str">
        <v>Truck</v>
      </c>
      <c r="U227" s="742" t="str">
        <v>PTH - CHC</v>
      </c>
      <c r="V227" s="742" t="str">
        <v>FY26 inter</v>
      </c>
      <c r="W227" s="742" t="str">
        <v>FY26 ComSur</v>
      </c>
      <c r="X227" s="742" t="str">
        <v>USAP Air</v>
      </c>
      <c r="Y227" s="774" t="str">
        <v>-</v>
      </c>
      <c r="Z227" s="774" t="str">
        <v>-</v>
      </c>
      <c r="AA227" s="774" t="str">
        <v>-</v>
      </c>
      <c r="AB227" s="774" t="str">
        <v>-</v>
      </c>
      <c r="AC227" s="774">
        <v>3</v>
      </c>
      <c r="AD227" s="702">
        <v>45962</v>
      </c>
      <c r="AE227" s="363" t="str">
        <v>FY26 intra</v>
      </c>
      <c r="AF227" s="363" t="str">
        <v>FY26 LC-130</v>
      </c>
      <c r="AG227" s="316" t="str">
        <v>-</v>
      </c>
      <c r="AH227" s="316" t="str">
        <v>-</v>
      </c>
      <c r="AI227" s="316" t="str">
        <v>-</v>
      </c>
      <c r="AJ227" s="316">
        <v>3</v>
      </c>
      <c r="AK227" s="53">
        <v>45986</v>
      </c>
      <c r="AL227" s="53">
        <v>46001</v>
      </c>
      <c r="AM227" s="316">
        <v>15</v>
      </c>
      <c r="AN227" s="316">
        <v>131</v>
      </c>
      <c r="AO227" s="316" t="str">
        <v>Yes</v>
      </c>
      <c r="AP227" s="53" t="str">
        <v>T. Karg</v>
      </c>
      <c r="AQ227" s="53">
        <v>44459</v>
      </c>
      <c r="AR227" s="53" t="str">
        <v>D. Tosi</v>
      </c>
      <c r="AS227" s="53">
        <v>44662</v>
      </c>
      <c r="AT227" s="53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</row>
    <row r="228" spans="1:46" s="8" customFormat="1" ht="51" x14ac:dyDescent="0.2">
      <c r="A228" s="9">
        <v>1.3</v>
      </c>
      <c r="B228" s="38" t="str">
        <v>Installation</v>
      </c>
      <c r="C228" s="11" t="str">
        <v>String Sensors 89-93 (mDOMs MSU)</v>
      </c>
      <c r="D228" s="3" t="str">
        <v>Optical Sensors for 5 strings from MSU (mDOMs) containers (TBD) - Do Not Deep Freeze</v>
      </c>
      <c r="E228" s="4">
        <v>238</v>
      </c>
      <c r="F228" s="4">
        <v>96</v>
      </c>
      <c r="G228" s="4">
        <v>114</v>
      </c>
      <c r="H228" s="4">
        <v>0</v>
      </c>
      <c r="I228" s="539">
        <v>1508</v>
      </c>
      <c r="J228" s="4">
        <v>0</v>
      </c>
      <c r="K228" s="4">
        <v>5115</v>
      </c>
      <c r="L228" s="4">
        <v>0</v>
      </c>
      <c r="M228" s="4" t="str">
        <v>actual(**)</v>
      </c>
      <c r="N228" s="4" t="str">
        <v>DNDF [-40C]</v>
      </c>
      <c r="O228" s="756" t="str">
        <v>MSU</v>
      </c>
      <c r="P228" s="758">
        <v>686</v>
      </c>
      <c r="Q228" s="878">
        <v>45184</v>
      </c>
      <c r="R228" s="757">
        <v>45870</v>
      </c>
      <c r="S228" s="757" t="str">
        <v>MSU - PTH</v>
      </c>
      <c r="T228" s="757" t="str">
        <v>Truck</v>
      </c>
      <c r="U228" s="742" t="str">
        <v>PTH - CHC</v>
      </c>
      <c r="V228" s="742" t="str">
        <v>FY26 inter</v>
      </c>
      <c r="W228" s="742" t="str">
        <v>FY26 ComSur</v>
      </c>
      <c r="X228" s="742" t="str">
        <v>USAP Air</v>
      </c>
      <c r="Y228" s="774" t="str">
        <v>-</v>
      </c>
      <c r="Z228" s="774" t="str">
        <v>-</v>
      </c>
      <c r="AA228" s="774" t="str">
        <v>-</v>
      </c>
      <c r="AB228" s="774" t="str">
        <v>-</v>
      </c>
      <c r="AC228" s="774">
        <v>6.25E-2</v>
      </c>
      <c r="AD228" s="702">
        <v>45962</v>
      </c>
      <c r="AE228" s="363" t="str">
        <v>FY26 intra</v>
      </c>
      <c r="AF228" s="363" t="str">
        <v>FY26 LC-130</v>
      </c>
      <c r="AG228" s="316" t="str">
        <v>-</v>
      </c>
      <c r="AH228" s="316" t="str">
        <v>-</v>
      </c>
      <c r="AI228" s="316" t="str">
        <v>-</v>
      </c>
      <c r="AJ228" s="316">
        <v>6.25E-2</v>
      </c>
      <c r="AK228" s="53">
        <v>45986</v>
      </c>
      <c r="AL228" s="53">
        <v>46001</v>
      </c>
      <c r="AM228" s="316">
        <v>15</v>
      </c>
      <c r="AN228" s="316">
        <v>131</v>
      </c>
      <c r="AO228" s="316" t="str">
        <v>Yes</v>
      </c>
      <c r="AP228" s="53" t="str">
        <v>T. Karg</v>
      </c>
      <c r="AQ228" s="53">
        <v>44459</v>
      </c>
      <c r="AR228" s="53" t="str">
        <v>D. Tosi</v>
      </c>
      <c r="AS228" s="53">
        <v>44662</v>
      </c>
      <c r="AT228" s="53" t="str">
        <v>Assume 2x20HC containers for transport on COMSUR (TBC). Pallets could be loaded to 53 ft truck and loaded into a loaned container in PTH but this would increase touch points (and risk)</v>
      </c>
    </row>
    <row r="229" spans="1:46" s="8" customFormat="1" ht="17" x14ac:dyDescent="0.2">
      <c r="A229" s="9">
        <v>1.3</v>
      </c>
      <c r="B229" s="38" t="str">
        <v>Installation</v>
      </c>
      <c r="C229" s="11" t="str">
        <v>DM-Ice</v>
      </c>
      <c r="D229" s="3" t="str">
        <v>DM-ice (two modules for string 89 and 90) - Do Not Deep Freeze</v>
      </c>
      <c r="E229" s="4">
        <v>48</v>
      </c>
      <c r="F229" s="4">
        <v>48</v>
      </c>
      <c r="G229" s="4">
        <v>48</v>
      </c>
      <c r="H229" s="4">
        <v>1</v>
      </c>
      <c r="I229" s="539">
        <v>64</v>
      </c>
      <c r="J229" s="4">
        <v>64</v>
      </c>
      <c r="K229" s="4">
        <v>1500</v>
      </c>
      <c r="L229" s="4">
        <v>1500</v>
      </c>
      <c r="M229" s="4" t="str">
        <v>estimated</v>
      </c>
      <c r="N229" s="4" t="str">
        <v>DNDF [-40C]</v>
      </c>
      <c r="O229" s="756" t="str">
        <v>Yale</v>
      </c>
      <c r="P229" s="758">
        <v>426</v>
      </c>
      <c r="Q229" s="878">
        <v>45444</v>
      </c>
      <c r="R229" s="757">
        <v>45870</v>
      </c>
      <c r="S229" s="757" t="str">
        <v>Yale - PTH</v>
      </c>
      <c r="T229" s="757" t="str">
        <v>Truck</v>
      </c>
      <c r="U229" s="742" t="str">
        <v>PTH - CHC</v>
      </c>
      <c r="V229" s="742" t="str">
        <v>FY26 inter</v>
      </c>
      <c r="W229" s="742" t="str">
        <v>FY26 ComSur</v>
      </c>
      <c r="X229" s="742" t="str">
        <v>USAP Air</v>
      </c>
      <c r="Y229" s="774" t="str">
        <v>-</v>
      </c>
      <c r="Z229" s="774" t="str">
        <v>-</v>
      </c>
      <c r="AA229" s="774" t="str">
        <v>-</v>
      </c>
      <c r="AB229" s="774" t="str">
        <v>-</v>
      </c>
      <c r="AC229" s="774">
        <v>0.25</v>
      </c>
      <c r="AD229" s="702">
        <v>45962</v>
      </c>
      <c r="AE229" s="363" t="str">
        <v>FY26 intra</v>
      </c>
      <c r="AF229" s="363" t="str">
        <v>FY26 LC-130</v>
      </c>
      <c r="AG229" s="316" t="str">
        <v>-</v>
      </c>
      <c r="AH229" s="316" t="str">
        <v>-</v>
      </c>
      <c r="AI229" s="316" t="str">
        <v>-</v>
      </c>
      <c r="AJ229" s="316">
        <v>0.25</v>
      </c>
      <c r="AK229" s="53">
        <v>45976</v>
      </c>
      <c r="AL229" s="53">
        <v>45996</v>
      </c>
      <c r="AM229" s="316">
        <v>20</v>
      </c>
      <c r="AN229" s="316">
        <v>126</v>
      </c>
      <c r="AO229" s="316" t="str">
        <v>Yes</v>
      </c>
      <c r="AP229" s="53" t="str">
        <v>M. Kauer</v>
      </c>
      <c r="AQ229" s="53">
        <v>44459</v>
      </c>
      <c r="AR229" s="53" t="str">
        <v>D. Tosi</v>
      </c>
      <c r="AS229" s="53">
        <v>44459</v>
      </c>
      <c r="AT229" s="53" t="str">
        <v>-</v>
      </c>
    </row>
    <row r="230" spans="1:46" s="8" customFormat="1" ht="68" x14ac:dyDescent="0.2">
      <c r="A230" s="9">
        <v>1.3</v>
      </c>
      <c r="B230" s="38" t="str">
        <v>Installation</v>
      </c>
      <c r="C230" s="11" t="str">
        <v>String Sensors 89-93 (mDOMs DESY)</v>
      </c>
      <c r="D230" s="3" t="str">
        <v>Optical sensors for 5 strings from Germany (mDOMs) - Do Not Deep Freeze</v>
      </c>
      <c r="E230" s="4">
        <v>40</v>
      </c>
      <c r="F230" s="4">
        <v>48</v>
      </c>
      <c r="G230" s="4">
        <v>46</v>
      </c>
      <c r="H230" s="4">
        <v>12</v>
      </c>
      <c r="I230" s="539">
        <v>52</v>
      </c>
      <c r="J230" s="4">
        <v>624</v>
      </c>
      <c r="K230" s="4">
        <v>573</v>
      </c>
      <c r="L230" s="4">
        <v>6876</v>
      </c>
      <c r="M230" s="4" t="str">
        <v>actual(**)</v>
      </c>
      <c r="N230" s="4" t="str">
        <v>DNDF [-40C]</v>
      </c>
      <c r="O230" s="756" t="str">
        <v>DESY</v>
      </c>
      <c r="P230" s="758">
        <v>721</v>
      </c>
      <c r="Q230" s="878">
        <v>45149</v>
      </c>
      <c r="R230" s="757">
        <v>45870</v>
      </c>
      <c r="S230" s="757" t="str">
        <v>DESY - CHC</v>
      </c>
      <c r="T230" s="757" t="str">
        <v>ComSur</v>
      </c>
      <c r="U230" s="742" t="str">
        <v>DESY-CHC</v>
      </c>
      <c r="V230" s="742" t="str">
        <v>FY26 inter</v>
      </c>
      <c r="W230" s="742" t="str">
        <v>FY26 ComSur</v>
      </c>
      <c r="X230" s="742" t="str">
        <v>USAP Air</v>
      </c>
      <c r="Y230" s="774" t="str">
        <v>-</v>
      </c>
      <c r="Z230" s="774" t="str">
        <v>-</v>
      </c>
      <c r="AA230" s="774" t="str">
        <v>-</v>
      </c>
      <c r="AB230" s="774" t="str">
        <v>-</v>
      </c>
      <c r="AC230" s="774">
        <v>3</v>
      </c>
      <c r="AD230" s="702">
        <v>45962</v>
      </c>
      <c r="AE230" s="363" t="str">
        <v>FY26 intra</v>
      </c>
      <c r="AF230" s="363" t="str">
        <v>FY26 LC-130</v>
      </c>
      <c r="AG230" s="316" t="str">
        <v>-</v>
      </c>
      <c r="AH230" s="316" t="str">
        <v>-</v>
      </c>
      <c r="AI230" s="316" t="str">
        <v>-</v>
      </c>
      <c r="AJ230" s="316">
        <v>3</v>
      </c>
      <c r="AK230" s="53">
        <v>45986</v>
      </c>
      <c r="AL230" s="53">
        <v>46001</v>
      </c>
      <c r="AM230" s="316">
        <v>15</v>
      </c>
      <c r="AN230" s="316">
        <v>131</v>
      </c>
      <c r="AO230" s="316" t="str">
        <v>Yes</v>
      </c>
      <c r="AP230" s="53" t="str">
        <v>T. Karg</v>
      </c>
      <c r="AQ230" s="53">
        <v>44459</v>
      </c>
      <c r="AR230" s="53" t="str">
        <v>D. Tosi</v>
      </c>
      <c r="AS230" s="53">
        <v>44662</v>
      </c>
      <c r="AT230" s="53" t="str">
        <v>mDOM weight is (28kg/sensor boxed) + 35kg pallet, assume 8 mDOMs/pallet - 190 to be deployed + 10 spares. (**) shipped in 20 HC container. Container not included in weight as pallets will be taken out.</v>
      </c>
    </row>
    <row r="231" spans="1:46" s="8" customFormat="1" ht="51" x14ac:dyDescent="0.2">
      <c r="A231" s="275">
        <v>1.3</v>
      </c>
      <c r="B231" s="276" t="str">
        <v>Installation</v>
      </c>
      <c r="C231" s="277" t="str">
        <v>Special Devices 89-93 (Europe)</v>
      </c>
      <c r="D231" s="278" t="str">
        <v>Special devices for 5 remaining strings from DESY/Germany/Sweden (6 WOMs,  3 Abalone Hubs or WOM Traps)  no spares - Do Not Deep Freeze</v>
      </c>
      <c r="E231" s="4">
        <v>32</v>
      </c>
      <c r="F231" s="4">
        <v>31</v>
      </c>
      <c r="G231" s="4">
        <v>89</v>
      </c>
      <c r="H231" s="4">
        <v>1</v>
      </c>
      <c r="I231" s="539">
        <v>52</v>
      </c>
      <c r="J231" s="4">
        <v>52</v>
      </c>
      <c r="K231" s="4">
        <v>1035</v>
      </c>
      <c r="L231" s="4">
        <v>1035</v>
      </c>
      <c r="M231" s="4" t="str">
        <v>preliminary</v>
      </c>
      <c r="N231" s="4" t="str">
        <v>DNDF [-40C]</v>
      </c>
      <c r="O231" s="756" t="str">
        <v>Mainz</v>
      </c>
      <c r="P231" s="758">
        <v>578</v>
      </c>
      <c r="Q231" s="878">
        <v>45292</v>
      </c>
      <c r="R231" s="757">
        <v>45870</v>
      </c>
      <c r="S231" s="757" t="str">
        <v>DESY - CHC</v>
      </c>
      <c r="T231" s="757" t="str">
        <v>ComSur</v>
      </c>
      <c r="U231" s="742" t="str">
        <v>DESY-CHC</v>
      </c>
      <c r="V231" s="742" t="str">
        <v>FY26 inter</v>
      </c>
      <c r="W231" s="742" t="str">
        <v>FY26 ComSur</v>
      </c>
      <c r="X231" s="742" t="str">
        <v>USAP Air</v>
      </c>
      <c r="Y231" s="774" t="str">
        <v>-</v>
      </c>
      <c r="Z231" s="774" t="str">
        <v>-</v>
      </c>
      <c r="AA231" s="774" t="str">
        <v>-</v>
      </c>
      <c r="AB231" s="774" t="str">
        <v>-</v>
      </c>
      <c r="AC231" s="774">
        <v>0.25</v>
      </c>
      <c r="AD231" s="702">
        <v>45962</v>
      </c>
      <c r="AE231" s="363" t="str">
        <v>FY26 intra</v>
      </c>
      <c r="AF231" s="363" t="str">
        <v>FY26 LC-130</v>
      </c>
      <c r="AG231" s="316" t="str">
        <v>-</v>
      </c>
      <c r="AH231" s="316" t="str">
        <v>-</v>
      </c>
      <c r="AI231" s="316" t="str">
        <v>-</v>
      </c>
      <c r="AJ231" s="316">
        <v>0.25</v>
      </c>
      <c r="AK231" s="53">
        <v>45986</v>
      </c>
      <c r="AL231" s="53">
        <v>46001</v>
      </c>
      <c r="AM231" s="316">
        <v>15</v>
      </c>
      <c r="AN231" s="316">
        <v>131</v>
      </c>
      <c r="AO231" s="316" t="str">
        <v>Yes</v>
      </c>
      <c r="AP231" s="53" t="str">
        <v>S. Boeser</v>
      </c>
      <c r="AQ231" s="53">
        <v>44482</v>
      </c>
      <c r="AR231" s="53" t="str">
        <v>D. Tosi</v>
      </c>
      <c r="AS231" s="53">
        <v>44482</v>
      </c>
      <c r="AT231" s="53" t="str">
        <v>6 Special Devices from Germany 6 (WOM + 0 AH) including 0 spare for each. Assume 170 lbs crate.</v>
      </c>
    </row>
    <row r="232" spans="1:46" s="8" customFormat="1" ht="51" x14ac:dyDescent="0.2">
      <c r="A232" s="9">
        <v>1.5</v>
      </c>
      <c r="B232" s="38" t="str">
        <v>Installation</v>
      </c>
      <c r="C232" s="11" t="str">
        <v>Calibration Devices 89-93 (Europe)</v>
      </c>
      <c r="D232" s="3" t="str">
        <v>Calibration for 5 strings from DESY/Germany/Sweden (17+2 POCAMs, 7+ 1 Acoustic sensors,  3+ 1 Swedish Cameras) including spares - Do Not Deep Freeze</v>
      </c>
      <c r="E232" s="4">
        <v>62</v>
      </c>
      <c r="F232" s="4">
        <v>48</v>
      </c>
      <c r="G232" s="4">
        <v>44</v>
      </c>
      <c r="H232" s="4">
        <v>1</v>
      </c>
      <c r="I232" s="539">
        <v>76</v>
      </c>
      <c r="J232" s="4">
        <v>76</v>
      </c>
      <c r="K232" s="4">
        <v>1694</v>
      </c>
      <c r="L232" s="4">
        <v>1694</v>
      </c>
      <c r="M232" s="4" t="str">
        <v>preliminary</v>
      </c>
      <c r="N232" s="4" t="str">
        <v>DNDF [-40C]</v>
      </c>
      <c r="O232" s="756" t="str">
        <v>TUM/Aachen/Sweden</v>
      </c>
      <c r="P232" s="758">
        <v>1157</v>
      </c>
      <c r="Q232" s="878">
        <v>44713</v>
      </c>
      <c r="R232" s="757">
        <v>45870</v>
      </c>
      <c r="S232" s="757" t="str">
        <v>DESY - CHC</v>
      </c>
      <c r="T232" s="757" t="str">
        <v>ComSur</v>
      </c>
      <c r="U232" s="742" t="str">
        <v>DESY-CHC</v>
      </c>
      <c r="V232" s="742" t="str">
        <v>FY26 inter</v>
      </c>
      <c r="W232" s="742" t="str">
        <v>FY26 ComSur</v>
      </c>
      <c r="X232" s="742" t="str">
        <v>USAP Air</v>
      </c>
      <c r="Y232" s="774" t="str">
        <v>-</v>
      </c>
      <c r="Z232" s="774" t="str">
        <v>-</v>
      </c>
      <c r="AA232" s="774" t="str">
        <v>-</v>
      </c>
      <c r="AB232" s="774" t="str">
        <v>-</v>
      </c>
      <c r="AC232" s="774">
        <v>0.25</v>
      </c>
      <c r="AD232" s="702">
        <v>45962</v>
      </c>
      <c r="AE232" s="363" t="str">
        <v>FY26 intra</v>
      </c>
      <c r="AF232" s="363" t="str">
        <v>FY26 LC-130</v>
      </c>
      <c r="AG232" s="316" t="str">
        <v>-</v>
      </c>
      <c r="AH232" s="316" t="str">
        <v>-</v>
      </c>
      <c r="AI232" s="316" t="str">
        <v>-</v>
      </c>
      <c r="AJ232" s="316">
        <v>0.25</v>
      </c>
      <c r="AK232" s="53">
        <v>45986</v>
      </c>
      <c r="AL232" s="53">
        <v>46001</v>
      </c>
      <c r="AM232" s="316">
        <v>15</v>
      </c>
      <c r="AN232" s="316">
        <v>131</v>
      </c>
      <c r="AO232" s="316" t="str">
        <v>Yes</v>
      </c>
      <c r="AP232" s="53" t="str">
        <v>D. Williams</v>
      </c>
      <c r="AQ232" s="53">
        <v>44482</v>
      </c>
      <c r="AR232" s="53" t="str">
        <v>D. Tosi</v>
      </c>
      <c r="AS232" s="53">
        <v>44482</v>
      </c>
      <c r="AT232" s="53" t="str">
        <v>Calibration devices for strings 89-93 = 3+1 Sweden Camera,7+1 + Acoustic Module,17 +1 POCAM, including spares, 200 lbs crate</v>
      </c>
    </row>
    <row r="233" spans="1:46" s="8" customFormat="1" ht="34" x14ac:dyDescent="0.2">
      <c r="A233" s="9">
        <v>1.3</v>
      </c>
      <c r="B233" s="38" t="str">
        <v>Installation</v>
      </c>
      <c r="C233" s="11" t="str">
        <v>String Sensors 89-93 (D-Eggs-8x)</v>
      </c>
      <c r="D233" s="3" t="str">
        <v>Sensors (D-Eggs) pallets with 8 sensors - Do Not Deep Freeze</v>
      </c>
      <c r="E233" s="4">
        <v>41</v>
      </c>
      <c r="F233" s="4">
        <v>41</v>
      </c>
      <c r="G233" s="4">
        <v>69</v>
      </c>
      <c r="H233" s="4">
        <v>10</v>
      </c>
      <c r="I233" s="539">
        <v>68</v>
      </c>
      <c r="J233" s="4">
        <v>680</v>
      </c>
      <c r="K233" s="4">
        <v>750</v>
      </c>
      <c r="L233" s="4">
        <v>7500</v>
      </c>
      <c r="M233" s="4" t="str">
        <v>actual</v>
      </c>
      <c r="N233" s="4" t="str">
        <v>DNDF [-40C]</v>
      </c>
      <c r="O233" s="756" t="str">
        <v>Chiba</v>
      </c>
      <c r="P233" s="758">
        <v>812</v>
      </c>
      <c r="Q233" s="878">
        <v>45058</v>
      </c>
      <c r="R233" s="757">
        <v>45870</v>
      </c>
      <c r="S233" s="757" t="str">
        <v>ChibaU - CHC</v>
      </c>
      <c r="T233" s="757" t="str">
        <v>Cargo shipment by CHU</v>
      </c>
      <c r="U233" s="742" t="str">
        <v>ChibaU - CHC</v>
      </c>
      <c r="V233" s="742" t="str">
        <v>FY26 inter</v>
      </c>
      <c r="W233" s="742" t="str">
        <v>FY26 ComSur</v>
      </c>
      <c r="X233" s="742" t="str">
        <v>USAP Air</v>
      </c>
      <c r="Y233" s="774" t="str">
        <v>-</v>
      </c>
      <c r="Z233" s="774" t="str">
        <v>-</v>
      </c>
      <c r="AA233" s="774" t="str">
        <v>-</v>
      </c>
      <c r="AB233" s="774" t="str">
        <v>-</v>
      </c>
      <c r="AC233" s="774">
        <v>2.5</v>
      </c>
      <c r="AD233" s="702">
        <v>45962</v>
      </c>
      <c r="AE233" s="363" t="str">
        <v>FY26 intra</v>
      </c>
      <c r="AF233" s="363" t="str">
        <v>FY26 LC-130</v>
      </c>
      <c r="AG233" s="316" t="str">
        <v>-</v>
      </c>
      <c r="AH233" s="316" t="str">
        <v>-</v>
      </c>
      <c r="AI233" s="316" t="str">
        <v>-</v>
      </c>
      <c r="AJ233" s="316">
        <v>2.5</v>
      </c>
      <c r="AK233" s="53">
        <v>45986</v>
      </c>
      <c r="AL233" s="53">
        <v>46001</v>
      </c>
      <c r="AM233" s="316">
        <v>15</v>
      </c>
      <c r="AN233" s="316">
        <v>131</v>
      </c>
      <c r="AO233" s="316" t="str">
        <v>Yes</v>
      </c>
      <c r="AP233" s="53" t="str">
        <v>S. Yoshida</v>
      </c>
      <c r="AQ233" s="53">
        <v>44461</v>
      </c>
      <c r="AR233" s="53" t="str">
        <v>D. Tosi</v>
      </c>
      <c r="AS233" s="53">
        <v>44662</v>
      </c>
      <c r="AT233" s="53" t="str">
        <v xml:space="preserve">2x12-DEgg pallets combined with 2x8-DEgg pallets to form one 463L pallet </v>
      </c>
    </row>
    <row r="234" spans="1:46" s="8" customFormat="1" ht="34" x14ac:dyDescent="0.2">
      <c r="A234" s="9">
        <v>1.3</v>
      </c>
      <c r="B234" s="38" t="str">
        <v>Installation</v>
      </c>
      <c r="C234" s="11" t="str">
        <v>String Sensors 89-93 (D-Eggs-12x)</v>
      </c>
      <c r="D234" s="3" t="str">
        <v>Sensors (D-Eggs) pallets with 12 sensors - Do Not Deep Freeze</v>
      </c>
      <c r="E234" s="4">
        <v>60</v>
      </c>
      <c r="F234" s="4">
        <v>41</v>
      </c>
      <c r="G234" s="4">
        <v>69</v>
      </c>
      <c r="H234" s="4">
        <v>10</v>
      </c>
      <c r="I234" s="539">
        <v>99</v>
      </c>
      <c r="J234" s="4">
        <v>990</v>
      </c>
      <c r="K234" s="4">
        <v>1102</v>
      </c>
      <c r="L234" s="4">
        <v>11020</v>
      </c>
      <c r="M234" s="4" t="str">
        <v>actual</v>
      </c>
      <c r="N234" s="4" t="str">
        <v>DNDF [-40C]</v>
      </c>
      <c r="O234" s="756" t="str">
        <v>Chiba</v>
      </c>
      <c r="P234" s="758">
        <v>812</v>
      </c>
      <c r="Q234" s="878">
        <v>45058</v>
      </c>
      <c r="R234" s="757">
        <v>45870</v>
      </c>
      <c r="S234" s="757" t="str">
        <v>ChibaU - CHC</v>
      </c>
      <c r="T234" s="757" t="str">
        <v>Cargo shipment by CHU</v>
      </c>
      <c r="U234" s="742" t="str">
        <v>ChibaU - CHC</v>
      </c>
      <c r="V234" s="742" t="str">
        <v>FY26 inter</v>
      </c>
      <c r="W234" s="742" t="str">
        <v>FY26 ComSur</v>
      </c>
      <c r="X234" s="742" t="str">
        <v>USAP Air</v>
      </c>
      <c r="Y234" s="774" t="str">
        <v>-</v>
      </c>
      <c r="Z234" s="774" t="str">
        <v>-</v>
      </c>
      <c r="AA234" s="774" t="str">
        <v>-</v>
      </c>
      <c r="AB234" s="774" t="str">
        <v>-</v>
      </c>
      <c r="AC234" s="774">
        <v>2.5</v>
      </c>
      <c r="AD234" s="702">
        <v>45962</v>
      </c>
      <c r="AE234" s="363" t="str">
        <v>FY26 intra</v>
      </c>
      <c r="AF234" s="363" t="str">
        <v>FY26 LC-130</v>
      </c>
      <c r="AG234" s="316" t="str">
        <v>-</v>
      </c>
      <c r="AH234" s="316" t="str">
        <v>-</v>
      </c>
      <c r="AI234" s="316" t="str">
        <v>-</v>
      </c>
      <c r="AJ234" s="316">
        <v>2.5</v>
      </c>
      <c r="AK234" s="53">
        <v>45986</v>
      </c>
      <c r="AL234" s="53">
        <v>46001</v>
      </c>
      <c r="AM234" s="316">
        <v>15</v>
      </c>
      <c r="AN234" s="316">
        <v>131</v>
      </c>
      <c r="AO234" s="316" t="str">
        <v>Yes</v>
      </c>
      <c r="AP234" s="53" t="str">
        <v>S. Yoshida</v>
      </c>
      <c r="AQ234" s="53">
        <v>44461</v>
      </c>
      <c r="AR234" s="53" t="str">
        <v>D. Tosi</v>
      </c>
      <c r="AS234" s="53">
        <v>44662</v>
      </c>
      <c r="AT234" s="53" t="str">
        <v xml:space="preserve">2x12-DEgg pallets combined with 2x8-DEgg pallets to form one 463L pallet </v>
      </c>
    </row>
    <row r="235" spans="1:46" s="8" customFormat="1" ht="17" x14ac:dyDescent="0.2">
      <c r="A235" s="275">
        <v>1.2</v>
      </c>
      <c r="B235" s="276" t="str">
        <v>Fuel</v>
      </c>
      <c r="C235" s="277" t="str">
        <v>Field Season 3 Fuel</v>
      </c>
      <c r="D235" s="278" t="str">
        <v>Fuel to support FY25 field season - Base fuel &amp; deep drilling</v>
      </c>
      <c r="E235" s="4">
        <v>0</v>
      </c>
      <c r="F235" s="4">
        <v>0</v>
      </c>
      <c r="G235" s="4">
        <v>0</v>
      </c>
      <c r="H235" s="4">
        <v>62694</v>
      </c>
      <c r="I235" s="539">
        <v>0</v>
      </c>
      <c r="J235" s="4">
        <v>8380.9699999999993</v>
      </c>
      <c r="K235" s="4">
        <v>6.8</v>
      </c>
      <c r="L235" s="4">
        <v>426319.2</v>
      </c>
      <c r="M235" s="4" t="str">
        <v>preliminary</v>
      </c>
      <c r="N235" s="4" t="str">
        <v>-</v>
      </c>
      <c r="O235" s="756" t="str">
        <v>-</v>
      </c>
      <c r="P235" s="758" t="str">
        <v>-</v>
      </c>
      <c r="Q235" s="878" t="str">
        <v>-</v>
      </c>
      <c r="R235" s="757" t="str">
        <v>-</v>
      </c>
      <c r="S235" s="757" t="str">
        <v>-</v>
      </c>
      <c r="T235" s="757" t="str">
        <v>-</v>
      </c>
      <c r="U235" s="742" t="str">
        <v>-</v>
      </c>
      <c r="V235" s="742" t="str">
        <v>FY26 inter</v>
      </c>
      <c r="W235" s="742" t="str">
        <v>-</v>
      </c>
      <c r="X235" s="742" t="str">
        <v>-</v>
      </c>
      <c r="Y235" s="774" t="str">
        <v>-</v>
      </c>
      <c r="Z235" s="774" t="str">
        <v>-</v>
      </c>
      <c r="AA235" s="774" t="str">
        <v>-</v>
      </c>
      <c r="AB235" s="774" t="str">
        <v>-</v>
      </c>
      <c r="AC235" s="774">
        <v>0</v>
      </c>
      <c r="AD235" s="702">
        <v>45962</v>
      </c>
      <c r="AE235" s="363" t="str">
        <v>FY26 intra</v>
      </c>
      <c r="AF235" s="363" t="str">
        <v>FY26 LC-Tanker</v>
      </c>
      <c r="AG235" s="316" t="str">
        <v>-</v>
      </c>
      <c r="AH235" s="316" t="str">
        <v>-</v>
      </c>
      <c r="AI235" s="316" t="str">
        <v>-</v>
      </c>
      <c r="AJ235" s="316">
        <v>0</v>
      </c>
      <c r="AK235" s="53">
        <v>45992</v>
      </c>
      <c r="AL235" s="53">
        <v>45992</v>
      </c>
      <c r="AM235" s="316">
        <v>0</v>
      </c>
      <c r="AN235" s="316" t="str">
        <v>-</v>
      </c>
      <c r="AO235" s="316" t="str">
        <v>Yes</v>
      </c>
      <c r="AP235" s="53" t="str">
        <v>T. Benson</v>
      </c>
      <c r="AQ235" s="53">
        <v>44483</v>
      </c>
      <c r="AR235" s="53" t="str">
        <v>I. McEwen</v>
      </c>
      <c r="AS235" s="53">
        <v>44483</v>
      </c>
      <c r="AT235" s="53" t="str">
        <v>-</v>
      </c>
    </row>
    <row r="236" spans="1:46" s="8" customFormat="1" ht="17" x14ac:dyDescent="0.2">
      <c r="A236" s="9">
        <v>1.2</v>
      </c>
      <c r="B236" s="38" t="str">
        <v>Fuel</v>
      </c>
      <c r="C236" s="11" t="str">
        <v>Field Season 3 Fuel Contingency</v>
      </c>
      <c r="D236" s="3" t="str">
        <v>Fuel to support FY25 field season - Contingency</v>
      </c>
      <c r="E236" s="4">
        <v>0</v>
      </c>
      <c r="F236" s="4">
        <v>0</v>
      </c>
      <c r="G236" s="4">
        <v>0</v>
      </c>
      <c r="H236" s="4">
        <v>8473</v>
      </c>
      <c r="I236" s="539">
        <v>0</v>
      </c>
      <c r="J236" s="4">
        <v>1132.68</v>
      </c>
      <c r="K236" s="4">
        <v>6.8</v>
      </c>
      <c r="L236" s="4">
        <v>57616.4</v>
      </c>
      <c r="M236" s="4" t="str">
        <v>preliminary</v>
      </c>
      <c r="N236" s="4" t="str">
        <v>-</v>
      </c>
      <c r="O236" s="756" t="str">
        <v>-</v>
      </c>
      <c r="P236" s="758" t="str">
        <v>-</v>
      </c>
      <c r="Q236" s="878" t="str">
        <v>-</v>
      </c>
      <c r="R236" s="757" t="str">
        <v>-</v>
      </c>
      <c r="S236" s="757" t="str">
        <v>-</v>
      </c>
      <c r="T236" s="757" t="str">
        <v>-</v>
      </c>
      <c r="U236" s="742" t="str">
        <v>-</v>
      </c>
      <c r="V236" s="742" t="str">
        <v>FY26 inter</v>
      </c>
      <c r="W236" s="742" t="str">
        <v>-</v>
      </c>
      <c r="X236" s="742" t="str">
        <v>-</v>
      </c>
      <c r="Y236" s="774" t="str">
        <v>-</v>
      </c>
      <c r="Z236" s="774" t="str">
        <v>-</v>
      </c>
      <c r="AA236" s="774" t="str">
        <v>-</v>
      </c>
      <c r="AB236" s="774" t="str">
        <v>-</v>
      </c>
      <c r="AC236" s="774">
        <v>0</v>
      </c>
      <c r="AD236" s="702">
        <v>45962</v>
      </c>
      <c r="AE236" s="363" t="str">
        <v>FY26 intra</v>
      </c>
      <c r="AF236" s="363" t="str">
        <v>FY26 LC-Tanker</v>
      </c>
      <c r="AG236" s="316" t="str">
        <v>-</v>
      </c>
      <c r="AH236" s="316" t="str">
        <v>-</v>
      </c>
      <c r="AI236" s="316" t="str">
        <v>-</v>
      </c>
      <c r="AJ236" s="316">
        <v>0</v>
      </c>
      <c r="AK236" s="53">
        <v>45992</v>
      </c>
      <c r="AL236" s="53">
        <v>45992</v>
      </c>
      <c r="AM236" s="316">
        <v>0</v>
      </c>
      <c r="AN236" s="316" t="str">
        <v>-</v>
      </c>
      <c r="AO236" s="316" t="str">
        <v>Yes</v>
      </c>
      <c r="AP236" s="53" t="str">
        <v>T. Benson</v>
      </c>
      <c r="AQ236" s="53">
        <v>44483</v>
      </c>
      <c r="AR236" s="53" t="str">
        <v>I. McEwen</v>
      </c>
      <c r="AS236" s="53">
        <v>44483</v>
      </c>
      <c r="AT236" s="53" t="str">
        <v>-</v>
      </c>
    </row>
    <row r="237" spans="1:46" s="8" customFormat="1" x14ac:dyDescent="0.2">
      <c r="A237" s="9"/>
      <c r="B237" s="38"/>
      <c r="C237" s="11"/>
      <c r="D237" s="3"/>
      <c r="E237" s="4"/>
      <c r="F237" s="4"/>
      <c r="G237" s="4"/>
      <c r="H237" s="4"/>
      <c r="I237" s="539"/>
      <c r="J237" s="4"/>
      <c r="K237" s="4"/>
      <c r="L237" s="4"/>
      <c r="M237" s="4"/>
      <c r="N237" s="4"/>
      <c r="O237" s="756"/>
      <c r="P237" s="758"/>
      <c r="Q237" s="878"/>
      <c r="R237" s="757"/>
      <c r="S237" s="757"/>
      <c r="T237" s="757"/>
      <c r="U237" s="742"/>
      <c r="V237" s="742"/>
      <c r="W237" s="742"/>
      <c r="X237" s="742"/>
      <c r="Y237" s="774"/>
      <c r="Z237" s="774"/>
      <c r="AA237" s="774"/>
      <c r="AB237" s="774"/>
      <c r="AC237" s="774"/>
      <c r="AD237" s="702"/>
      <c r="AE237" s="363"/>
      <c r="AF237" s="363"/>
      <c r="AG237" s="316"/>
      <c r="AH237" s="316"/>
      <c r="AI237" s="316"/>
      <c r="AJ237" s="316"/>
      <c r="AK237" s="53"/>
      <c r="AL237" s="53"/>
      <c r="AM237" s="316"/>
      <c r="AN237" s="316"/>
      <c r="AO237" s="316"/>
      <c r="AP237" s="53"/>
      <c r="AQ237" s="53"/>
      <c r="AR237" s="53"/>
      <c r="AS237" s="53"/>
      <c r="AT237" s="53"/>
    </row>
    <row r="238" spans="1:46" s="8" customFormat="1" x14ac:dyDescent="0.2">
      <c r="A238" s="9"/>
      <c r="B238" s="38"/>
      <c r="C238" s="11"/>
      <c r="D238" s="3"/>
      <c r="E238" s="4"/>
      <c r="F238" s="4"/>
      <c r="G238" s="4"/>
      <c r="H238" s="4"/>
      <c r="I238" s="539"/>
      <c r="J238" s="4"/>
      <c r="K238" s="4"/>
      <c r="L238" s="4"/>
      <c r="M238" s="4"/>
      <c r="N238" s="4"/>
      <c r="O238" s="756"/>
      <c r="P238" s="758"/>
      <c r="Q238" s="878"/>
      <c r="R238" s="757"/>
      <c r="S238" s="757"/>
      <c r="T238" s="757"/>
      <c r="U238" s="742"/>
      <c r="V238" s="742"/>
      <c r="W238" s="742"/>
      <c r="X238" s="742"/>
      <c r="Y238" s="774"/>
      <c r="Z238" s="774"/>
      <c r="AA238" s="774"/>
      <c r="AB238" s="774"/>
      <c r="AC238" s="774"/>
      <c r="AD238" s="702"/>
      <c r="AE238" s="363"/>
      <c r="AF238" s="363"/>
      <c r="AG238" s="316"/>
      <c r="AH238" s="316"/>
      <c r="AI238" s="316"/>
      <c r="AJ238" s="316"/>
      <c r="AK238" s="53"/>
      <c r="AL238" s="53"/>
      <c r="AM238" s="316"/>
      <c r="AN238" s="316"/>
      <c r="AO238" s="316"/>
      <c r="AP238" s="53"/>
      <c r="AQ238" s="53"/>
      <c r="AR238" s="53"/>
      <c r="AS238" s="53"/>
      <c r="AT238" s="53"/>
    </row>
    <row r="239" spans="1:46" s="8" customFormat="1" x14ac:dyDescent="0.2">
      <c r="A239" s="275"/>
      <c r="B239" s="276"/>
      <c r="C239" s="277"/>
      <c r="D239" s="278"/>
      <c r="E239" s="4"/>
      <c r="F239" s="4"/>
      <c r="G239" s="4"/>
      <c r="H239" s="4"/>
      <c r="I239" s="539"/>
      <c r="J239" s="4"/>
      <c r="K239" s="4"/>
      <c r="L239" s="4"/>
      <c r="M239" s="4"/>
      <c r="N239" s="4"/>
      <c r="O239" s="756"/>
      <c r="P239" s="758"/>
      <c r="Q239" s="878"/>
      <c r="R239" s="757"/>
      <c r="S239" s="757"/>
      <c r="T239" s="757"/>
      <c r="U239" s="742"/>
      <c r="V239" s="742"/>
      <c r="W239" s="742"/>
      <c r="X239" s="742"/>
      <c r="Y239" s="774"/>
      <c r="Z239" s="774"/>
      <c r="AA239" s="774"/>
      <c r="AB239" s="774"/>
      <c r="AC239" s="774"/>
      <c r="AD239" s="702"/>
      <c r="AE239" s="363"/>
      <c r="AF239" s="363"/>
      <c r="AG239" s="316"/>
      <c r="AH239" s="316"/>
      <c r="AI239" s="316"/>
      <c r="AJ239" s="316"/>
      <c r="AK239" s="53"/>
      <c r="AL239" s="53"/>
      <c r="AM239" s="316"/>
      <c r="AN239" s="316"/>
      <c r="AO239" s="316"/>
      <c r="AP239" s="53"/>
      <c r="AQ239" s="53"/>
      <c r="AR239" s="53"/>
      <c r="AS239" s="53"/>
      <c r="AT239" s="53"/>
    </row>
    <row r="240" spans="1:46" s="8" customFormat="1" ht="17" thickBot="1" x14ac:dyDescent="0.25">
      <c r="A240" s="9"/>
      <c r="B240" s="38"/>
      <c r="C240" s="11"/>
      <c r="D240" s="3"/>
      <c r="E240" s="4"/>
      <c r="F240" s="4"/>
      <c r="G240" s="4"/>
      <c r="H240" s="4"/>
      <c r="I240" s="539"/>
      <c r="J240" s="4"/>
      <c r="K240" s="4"/>
      <c r="L240" s="4"/>
      <c r="M240" s="4"/>
      <c r="N240" s="4"/>
      <c r="O240" s="756"/>
      <c r="P240" s="758"/>
      <c r="Q240" s="878"/>
      <c r="R240" s="757"/>
      <c r="S240" s="757"/>
      <c r="T240" s="757"/>
      <c r="U240" s="742"/>
      <c r="V240" s="742"/>
      <c r="W240" s="742"/>
      <c r="X240" s="742"/>
      <c r="Y240" s="774"/>
      <c r="Z240" s="774"/>
      <c r="AA240" s="774"/>
      <c r="AB240" s="774"/>
      <c r="AC240" s="774"/>
      <c r="AD240" s="702"/>
      <c r="AE240" s="363"/>
      <c r="AF240" s="363"/>
      <c r="AG240" s="316"/>
      <c r="AH240" s="316"/>
      <c r="AI240" s="316"/>
      <c r="AJ240" s="316"/>
      <c r="AK240" s="53"/>
      <c r="AL240" s="53"/>
      <c r="AM240" s="316"/>
      <c r="AN240" s="316"/>
      <c r="AO240" s="316"/>
      <c r="AP240" s="53"/>
      <c r="AQ240" s="53"/>
      <c r="AR240" s="53"/>
      <c r="AS240" s="53"/>
      <c r="AT240" s="53"/>
    </row>
    <row r="241" spans="1:46" ht="17" thickBot="1" x14ac:dyDescent="0.25">
      <c r="A241" s="796"/>
      <c r="B241" s="796"/>
      <c r="C241" s="802"/>
      <c r="D241" s="802"/>
      <c r="E241" s="796"/>
      <c r="F241" s="796"/>
      <c r="G241" s="796"/>
      <c r="H241" s="796"/>
      <c r="I241" s="800"/>
      <c r="J241" s="319">
        <f>SUM(J216:J240)</f>
        <v>14471.65</v>
      </c>
      <c r="K241" s="796"/>
      <c r="L241" s="808">
        <f>SUM(L216:L240)</f>
        <v>546484.6</v>
      </c>
      <c r="M241" s="801"/>
      <c r="N241" s="796"/>
      <c r="O241" s="796"/>
      <c r="P241" s="796"/>
      <c r="Q241" s="798"/>
      <c r="R241" s="798"/>
      <c r="S241" s="798"/>
      <c r="T241" s="798"/>
      <c r="U241" s="796"/>
      <c r="V241" s="796"/>
      <c r="W241" s="796"/>
      <c r="X241" s="319">
        <f>AB241+AA241+(Y241*2)+(Z241*2)</f>
        <v>0</v>
      </c>
      <c r="Y241" s="319">
        <f>SUM(Y216:Y240)</f>
        <v>0</v>
      </c>
      <c r="Z241" s="319">
        <f t="shared" ref="Z241:AB241" si="5">SUM(Z216:Z240)</f>
        <v>0</v>
      </c>
      <c r="AA241" s="319">
        <f t="shared" si="5"/>
        <v>0</v>
      </c>
      <c r="AB241" s="319">
        <f t="shared" si="5"/>
        <v>0</v>
      </c>
      <c r="AC241" s="319">
        <f>SUM(AC216:AC240)</f>
        <v>16.5625</v>
      </c>
      <c r="AD241" s="548"/>
      <c r="AE241" s="409"/>
      <c r="AF241" s="798"/>
      <c r="AG241" s="786"/>
      <c r="AH241" s="786"/>
      <c r="AI241" s="786"/>
      <c r="AK241" s="409"/>
      <c r="AL241" s="798"/>
      <c r="AM241" s="786"/>
      <c r="AN241" s="786"/>
      <c r="AO241" s="798"/>
      <c r="AP241" s="798"/>
      <c r="AQ241" s="798"/>
      <c r="AR241" s="798"/>
      <c r="AS241" s="799"/>
      <c r="AT241" s="796"/>
    </row>
    <row r="242" spans="1:46" x14ac:dyDescent="0.2">
      <c r="A242" s="796"/>
      <c r="B242" s="796"/>
      <c r="C242" s="802"/>
      <c r="D242" s="802"/>
      <c r="E242" s="796"/>
      <c r="F242" s="796"/>
      <c r="G242" s="796"/>
      <c r="H242" s="796"/>
      <c r="I242" s="800"/>
      <c r="J242" s="54" t="s">
        <v>478</v>
      </c>
      <c r="K242" s="8"/>
      <c r="L242" s="8" t="s">
        <v>479</v>
      </c>
      <c r="M242" s="801"/>
      <c r="N242" s="796"/>
      <c r="O242" s="796"/>
      <c r="P242" s="796"/>
      <c r="Q242" s="798"/>
      <c r="R242" s="798"/>
      <c r="S242" s="798"/>
      <c r="T242" s="798"/>
      <c r="U242" s="796"/>
      <c r="V242" s="796"/>
      <c r="W242" s="796"/>
      <c r="X242" s="59" t="s">
        <v>485</v>
      </c>
      <c r="Y242" s="59" t="s">
        <v>486</v>
      </c>
      <c r="Z242" s="59" t="s">
        <v>487</v>
      </c>
      <c r="AA242" s="59" t="s">
        <v>488</v>
      </c>
      <c r="AB242" s="59" t="s">
        <v>489</v>
      </c>
      <c r="AC242" s="554" t="s">
        <v>484</v>
      </c>
      <c r="AD242" s="54"/>
      <c r="AE242" s="8"/>
      <c r="AF242" s="8"/>
      <c r="AG242" s="59"/>
      <c r="AH242" s="59"/>
      <c r="AI242" s="554"/>
      <c r="AK242" s="409"/>
      <c r="AL242" s="798"/>
      <c r="AM242" s="786"/>
      <c r="AN242" s="786"/>
      <c r="AO242" s="798"/>
      <c r="AP242" s="798"/>
      <c r="AQ242" s="798"/>
      <c r="AR242" s="798"/>
      <c r="AS242" s="799"/>
      <c r="AT242" s="796"/>
    </row>
    <row r="243" spans="1:46" x14ac:dyDescent="0.2">
      <c r="A243" s="796"/>
      <c r="B243" s="796"/>
      <c r="C243" s="802"/>
      <c r="D243" s="802"/>
      <c r="E243" s="796"/>
      <c r="F243" s="796"/>
      <c r="G243" s="796"/>
      <c r="H243" s="796"/>
      <c r="I243" s="800"/>
      <c r="J243" s="796"/>
      <c r="K243" s="796"/>
      <c r="L243" s="796"/>
      <c r="M243" s="801"/>
      <c r="N243" s="796"/>
      <c r="O243" s="796"/>
      <c r="P243" s="796"/>
      <c r="Q243" s="798"/>
      <c r="R243" s="798"/>
      <c r="S243" s="798"/>
      <c r="T243" s="798"/>
      <c r="U243" s="796"/>
      <c r="V243" s="796"/>
      <c r="W243" s="796"/>
      <c r="X243" s="796"/>
      <c r="Y243" s="786"/>
      <c r="Z243" s="786"/>
      <c r="AA243" s="786"/>
      <c r="AB243" s="786"/>
      <c r="AC243" s="786"/>
      <c r="AD243" s="798"/>
      <c r="AE243" s="786"/>
      <c r="AF243" s="786"/>
      <c r="AG243" s="786"/>
      <c r="AH243" s="786"/>
      <c r="AI243" s="786"/>
      <c r="AK243" s="409"/>
      <c r="AL243" s="798"/>
      <c r="AM243" s="786"/>
      <c r="AN243" s="786"/>
      <c r="AO243" s="798"/>
      <c r="AP243" s="798"/>
      <c r="AQ243" s="798"/>
      <c r="AR243" s="798"/>
      <c r="AS243" s="799"/>
      <c r="AT243" s="796"/>
    </row>
    <row r="244" spans="1:46" x14ac:dyDescent="0.2">
      <c r="A244" s="796"/>
      <c r="B244" s="796"/>
      <c r="C244" s="802"/>
      <c r="D244" s="802"/>
      <c r="E244" s="796"/>
      <c r="F244" s="796"/>
      <c r="G244" s="796"/>
      <c r="H244" s="796"/>
      <c r="I244" s="800"/>
      <c r="J244" s="796"/>
      <c r="K244" s="796"/>
      <c r="L244" s="796"/>
      <c r="M244" s="801"/>
      <c r="N244" s="796"/>
      <c r="O244" s="796"/>
      <c r="P244" s="796"/>
      <c r="Q244" s="798"/>
      <c r="R244" s="798"/>
      <c r="S244" s="798"/>
      <c r="T244" s="798"/>
      <c r="U244" s="796"/>
      <c r="V244" s="796"/>
      <c r="W244" s="796"/>
      <c r="X244" s="796"/>
      <c r="Y244" s="786"/>
      <c r="Z244" s="786"/>
      <c r="AA244" s="786"/>
      <c r="AB244" s="786"/>
      <c r="AC244" s="786"/>
      <c r="AD244" s="798"/>
      <c r="AE244" s="786"/>
      <c r="AF244" s="786"/>
      <c r="AG244" s="786"/>
      <c r="AH244" s="786"/>
      <c r="AI244" s="786"/>
      <c r="AK244" s="409"/>
      <c r="AL244" s="798"/>
      <c r="AM244" s="786"/>
      <c r="AN244" s="786"/>
      <c r="AO244" s="798"/>
      <c r="AP244" s="798"/>
      <c r="AQ244" s="798"/>
      <c r="AR244" s="798"/>
      <c r="AS244" s="799"/>
      <c r="AT244" s="796"/>
    </row>
    <row r="245" spans="1:46" s="425" customFormat="1" ht="19" x14ac:dyDescent="0.25">
      <c r="I245" s="525"/>
      <c r="Q245" s="426"/>
      <c r="R245" s="426"/>
      <c r="S245" s="426"/>
      <c r="T245" s="426"/>
      <c r="Y245" s="433"/>
      <c r="Z245" s="433"/>
      <c r="AA245" s="433"/>
      <c r="AB245" s="433"/>
      <c r="AC245" s="433"/>
      <c r="AD245" s="426"/>
      <c r="AE245" s="433"/>
      <c r="AF245" s="433"/>
      <c r="AG245" s="433"/>
      <c r="AH245" s="433"/>
      <c r="AI245" s="433"/>
      <c r="AJ245" s="433"/>
      <c r="AK245" s="409"/>
      <c r="AL245" s="798"/>
      <c r="AM245" s="786"/>
      <c r="AN245" s="786"/>
      <c r="AO245" s="426"/>
      <c r="AP245" s="426"/>
      <c r="AQ245" s="426"/>
      <c r="AR245" s="426"/>
      <c r="AS245" s="537"/>
    </row>
    <row r="246" spans="1:46" s="318" customFormat="1" x14ac:dyDescent="0.2">
      <c r="A246" s="396"/>
      <c r="B246" s="397"/>
      <c r="C246" s="398"/>
      <c r="D246" s="399"/>
      <c r="E246" s="400"/>
      <c r="F246" s="401"/>
      <c r="G246" s="401"/>
      <c r="H246" s="402"/>
      <c r="I246" s="583"/>
      <c r="J246" s="403"/>
      <c r="K246" s="403"/>
      <c r="L246" s="401"/>
      <c r="M246" s="401"/>
      <c r="N246" s="401"/>
      <c r="O246" s="404"/>
      <c r="P246" s="404"/>
      <c r="Q246" s="57"/>
      <c r="R246" s="57"/>
      <c r="S246" s="57"/>
      <c r="T246" s="57"/>
      <c r="U246" s="362"/>
      <c r="V246" s="23"/>
      <c r="W246" s="23"/>
      <c r="X246" s="23"/>
      <c r="Y246" s="368"/>
      <c r="Z246" s="368"/>
      <c r="AA246" s="368"/>
      <c r="AB246" s="368"/>
      <c r="AC246" s="368"/>
      <c r="AD246" s="534"/>
      <c r="AE246" s="366"/>
      <c r="AF246" s="366"/>
      <c r="AG246" s="366"/>
      <c r="AH246" s="366"/>
      <c r="AI246" s="366"/>
      <c r="AJ246" s="379"/>
      <c r="AK246" s="261"/>
      <c r="AL246" s="534"/>
      <c r="AM246" s="366"/>
      <c r="AN246" s="366"/>
      <c r="AO246" s="405"/>
      <c r="AP246" s="405"/>
      <c r="AQ246" s="534"/>
      <c r="AR246" s="534"/>
      <c r="AS246" s="534"/>
      <c r="AT246" s="534"/>
    </row>
    <row r="247" spans="1:46" s="416" customFormat="1" ht="20" x14ac:dyDescent="0.2">
      <c r="A247" s="511" t="s">
        <v>396</v>
      </c>
      <c r="B247" s="511"/>
      <c r="C247" s="511"/>
      <c r="D247" s="512"/>
      <c r="E247" s="411"/>
      <c r="F247" s="411"/>
      <c r="G247" s="411"/>
      <c r="H247" s="411"/>
      <c r="I247" s="584">
        <f>SUM(I248:I270)</f>
        <v>3801</v>
      </c>
      <c r="J247" s="555"/>
      <c r="K247" s="555">
        <f>SUM(K248:K270)</f>
        <v>47713.8</v>
      </c>
      <c r="L247" s="555"/>
      <c r="M247" s="411"/>
      <c r="N247" s="411"/>
      <c r="O247" s="412"/>
      <c r="P247" s="412"/>
      <c r="Q247" s="556"/>
      <c r="R247" s="413"/>
      <c r="S247" s="413"/>
      <c r="T247" s="413"/>
      <c r="U247" s="557"/>
      <c r="V247" s="412"/>
      <c r="W247" s="412"/>
      <c r="X247" s="412"/>
      <c r="Y247" s="558"/>
      <c r="Z247" s="415"/>
      <c r="AA247" s="558"/>
      <c r="AB247" s="415"/>
      <c r="AC247" s="415"/>
      <c r="AD247" s="414"/>
      <c r="AE247" s="422"/>
      <c r="AF247" s="422"/>
      <c r="AG247" s="422"/>
      <c r="AH247" s="422"/>
      <c r="AI247" s="422"/>
      <c r="AJ247" s="422"/>
      <c r="AK247" s="414"/>
      <c r="AL247" s="414"/>
      <c r="AM247" s="414"/>
      <c r="AN247" s="422"/>
      <c r="AO247" s="413"/>
      <c r="AP247" s="414"/>
      <c r="AQ247" s="414"/>
      <c r="AR247" s="414"/>
      <c r="AS247" s="414"/>
      <c r="AT247" s="414"/>
    </row>
    <row r="248" spans="1:46" s="8" customFormat="1" ht="34" x14ac:dyDescent="0.2">
      <c r="A248" s="9" cm="1">
        <f t="array" ref="A248:AT271">_xlfn._xlws.FILTER(cargo_table,intra_shipping_label=A247)</f>
        <v>1.2</v>
      </c>
      <c r="B248" s="38" t="str">
        <v>Drill</v>
      </c>
      <c r="C248" s="11" t="str">
        <v>Driller resupply/refit components -  8'  Container FS3</v>
      </c>
      <c r="D248" s="3" t="str">
        <v>8' Mini Milvan; Consumables/drill components</v>
      </c>
      <c r="E248" s="4">
        <v>96</v>
      </c>
      <c r="F248" s="4">
        <v>86</v>
      </c>
      <c r="G248" s="4">
        <v>96</v>
      </c>
      <c r="H248" s="4">
        <v>1</v>
      </c>
      <c r="I248" s="539">
        <v>459</v>
      </c>
      <c r="J248" s="4">
        <v>459</v>
      </c>
      <c r="K248" s="4">
        <v>6500</v>
      </c>
      <c r="L248" s="4">
        <v>6500</v>
      </c>
      <c r="M248" s="4" t="str">
        <v>estimated</v>
      </c>
      <c r="N248" s="4" t="str">
        <v>-</v>
      </c>
      <c r="O248" s="756" t="str">
        <v xml:space="preserve"> U. Wisc. Madison</v>
      </c>
      <c r="P248" s="758">
        <v>31</v>
      </c>
      <c r="Q248" s="878">
        <v>45839</v>
      </c>
      <c r="R248" s="757">
        <v>45870</v>
      </c>
      <c r="S248" s="757" t="str">
        <v>UWM - PTH</v>
      </c>
      <c r="T248" s="757" t="str">
        <v>Truck</v>
      </c>
      <c r="U248" s="742" t="str">
        <v>PTH - CHC</v>
      </c>
      <c r="V248" s="742" t="str">
        <v>FY26 inter</v>
      </c>
      <c r="W248" s="742" t="str">
        <v>FY26 ComSur</v>
      </c>
      <c r="X248" s="742" t="str">
        <v>USAP Air</v>
      </c>
      <c r="Y248" s="774" t="str">
        <v>-</v>
      </c>
      <c r="Z248" s="774" t="str">
        <v>-</v>
      </c>
      <c r="AA248" s="774" t="str">
        <v>-</v>
      </c>
      <c r="AB248" s="774" t="str">
        <v>-</v>
      </c>
      <c r="AC248" s="774">
        <v>1</v>
      </c>
      <c r="AD248" s="702">
        <v>45962</v>
      </c>
      <c r="AE248" s="363" t="str">
        <v>FY26 intra</v>
      </c>
      <c r="AF248" s="363" t="str">
        <v>FY26 LC-130</v>
      </c>
      <c r="AG248" s="316" t="str">
        <v>-</v>
      </c>
      <c r="AH248" s="316" t="str">
        <v>-</v>
      </c>
      <c r="AI248" s="316" t="str">
        <v>-</v>
      </c>
      <c r="AJ248" s="316">
        <v>1</v>
      </c>
      <c r="AK248" s="53">
        <v>45976</v>
      </c>
      <c r="AL248" s="53">
        <v>45976</v>
      </c>
      <c r="AM248" s="316">
        <v>0</v>
      </c>
      <c r="AN248" s="316">
        <v>106</v>
      </c>
      <c r="AO248" s="316" t="str">
        <v>Yes</v>
      </c>
      <c r="AP248" s="53" t="str">
        <v>D. Gibson</v>
      </c>
      <c r="AQ248" s="53">
        <v>44477</v>
      </c>
      <c r="AR248" s="53" t="str">
        <v>I. McEwen</v>
      </c>
      <c r="AS248" s="53">
        <v>44477</v>
      </c>
      <c r="AT248" s="53" t="str">
        <v>Items identifed in prior field season - 8' container moves with contents overland or by air</v>
      </c>
    </row>
    <row r="249" spans="1:46" s="8" customFormat="1" ht="34" x14ac:dyDescent="0.2">
      <c r="A249" s="9">
        <v>1.2</v>
      </c>
      <c r="B249" s="38" t="str">
        <v>Drill</v>
      </c>
      <c r="C249" s="11" t="str">
        <v>Drill refit components FS3</v>
      </c>
      <c r="D249" s="3" t="str">
        <v>Single crate. Consumables/drill refit components - Do Not Freeze</v>
      </c>
      <c r="E249" s="4">
        <v>96</v>
      </c>
      <c r="F249" s="4">
        <v>48</v>
      </c>
      <c r="G249" s="4">
        <v>48</v>
      </c>
      <c r="H249" s="4">
        <v>1</v>
      </c>
      <c r="I249" s="539">
        <v>128</v>
      </c>
      <c r="J249" s="4">
        <v>128</v>
      </c>
      <c r="K249" s="4">
        <v>3000</v>
      </c>
      <c r="L249" s="4">
        <v>3000</v>
      </c>
      <c r="M249" s="4" t="str">
        <v>estimated</v>
      </c>
      <c r="N249" s="4" t="str">
        <v>DNF</v>
      </c>
      <c r="O249" s="756" t="str">
        <v xml:space="preserve"> U. Wisc. Madison</v>
      </c>
      <c r="P249" s="758">
        <v>31</v>
      </c>
      <c r="Q249" s="878">
        <v>45839</v>
      </c>
      <c r="R249" s="757">
        <v>45870</v>
      </c>
      <c r="S249" s="757" t="str">
        <v>UWM - PTH</v>
      </c>
      <c r="T249" s="757" t="str">
        <v>Truck</v>
      </c>
      <c r="U249" s="742" t="str">
        <v>PTH - CHC</v>
      </c>
      <c r="V249" s="742" t="str">
        <v>FY26 inter</v>
      </c>
      <c r="W249" s="742" t="str">
        <v>FY26 Comsur</v>
      </c>
      <c r="X249" s="742" t="str">
        <v>USAP Air</v>
      </c>
      <c r="Y249" s="774" t="str">
        <v>-</v>
      </c>
      <c r="Z249" s="774" t="str">
        <v>-</v>
      </c>
      <c r="AA249" s="774" t="str">
        <v>-</v>
      </c>
      <c r="AB249" s="774" t="str">
        <v>-</v>
      </c>
      <c r="AC249" s="774">
        <v>0.5</v>
      </c>
      <c r="AD249" s="702">
        <v>45962</v>
      </c>
      <c r="AE249" s="363" t="str">
        <v>FY26 intra</v>
      </c>
      <c r="AF249" s="363" t="str">
        <v>FY26 LC-130</v>
      </c>
      <c r="AG249" s="316" t="str">
        <v>-</v>
      </c>
      <c r="AH249" s="316" t="str">
        <v>-</v>
      </c>
      <c r="AI249" s="316" t="str">
        <v>-</v>
      </c>
      <c r="AJ249" s="316">
        <v>0.5</v>
      </c>
      <c r="AK249" s="53">
        <v>45976</v>
      </c>
      <c r="AL249" s="53">
        <v>45976</v>
      </c>
      <c r="AM249" s="316">
        <v>0</v>
      </c>
      <c r="AN249" s="316">
        <v>106</v>
      </c>
      <c r="AO249" s="316" t="str">
        <v>Yes</v>
      </c>
      <c r="AP249" s="53" t="str">
        <v>D. Gibson</v>
      </c>
      <c r="AQ249" s="53">
        <v>44477</v>
      </c>
      <c r="AR249" s="53" t="str">
        <v>I. McEwen</v>
      </c>
      <c r="AS249" s="53">
        <v>44477</v>
      </c>
      <c r="AT249" s="53" t="str">
        <v>Items identifed in prior field season</v>
      </c>
    </row>
    <row r="250" spans="1:46" s="8" customFormat="1" ht="34" x14ac:dyDescent="0.2">
      <c r="A250" s="9">
        <v>1.2</v>
      </c>
      <c r="B250" s="38" t="str">
        <v>Installation</v>
      </c>
      <c r="C250" s="11" t="str">
        <v>Misc. Science Equipment - FS3 (FY26)</v>
      </c>
      <c r="D250" s="3" t="str">
        <v>Scientific and test equipment - Do Not Freeze [science supplies for FS3]</v>
      </c>
      <c r="E250" s="4">
        <v>48</v>
      </c>
      <c r="F250" s="4">
        <v>48</v>
      </c>
      <c r="G250" s="4">
        <v>48</v>
      </c>
      <c r="H250" s="4">
        <v>1</v>
      </c>
      <c r="I250" s="539">
        <v>64</v>
      </c>
      <c r="J250" s="4">
        <v>64</v>
      </c>
      <c r="K250" s="4">
        <v>1500</v>
      </c>
      <c r="L250" s="4">
        <v>1500</v>
      </c>
      <c r="M250" s="4" t="str">
        <v>estimated</v>
      </c>
      <c r="N250" s="4" t="str">
        <v>DNF</v>
      </c>
      <c r="O250" s="756" t="str">
        <v xml:space="preserve"> U. Wisc. Madison</v>
      </c>
      <c r="P250" s="758">
        <v>25</v>
      </c>
      <c r="Q250" s="878">
        <v>45845</v>
      </c>
      <c r="R250" s="757">
        <v>45870</v>
      </c>
      <c r="S250" s="757" t="str">
        <v>UWM - PTH</v>
      </c>
      <c r="T250" s="757" t="str">
        <v>Truck</v>
      </c>
      <c r="U250" s="742" t="str">
        <v>PTH - CHC</v>
      </c>
      <c r="V250" s="742" t="str">
        <v>FY26 inter</v>
      </c>
      <c r="W250" s="742" t="str">
        <v>FY26 ComSur</v>
      </c>
      <c r="X250" s="742" t="str">
        <v>USAP Air</v>
      </c>
      <c r="Y250" s="774" t="str">
        <v>-</v>
      </c>
      <c r="Z250" s="774" t="str">
        <v>-</v>
      </c>
      <c r="AA250" s="774" t="str">
        <v>-</v>
      </c>
      <c r="AB250" s="774" t="str">
        <v>-</v>
      </c>
      <c r="AC250" s="774">
        <v>0.25</v>
      </c>
      <c r="AD250" s="702">
        <v>45962</v>
      </c>
      <c r="AE250" s="363" t="str">
        <v>FY26 intra</v>
      </c>
      <c r="AF250" s="363" t="str">
        <v>FY26 LC-130</v>
      </c>
      <c r="AG250" s="316" t="str">
        <v>-</v>
      </c>
      <c r="AH250" s="316" t="str">
        <v>-</v>
      </c>
      <c r="AI250" s="316" t="str">
        <v>-</v>
      </c>
      <c r="AJ250" s="316">
        <v>0.25</v>
      </c>
      <c r="AK250" s="53">
        <v>45976</v>
      </c>
      <c r="AL250" s="53">
        <v>45992</v>
      </c>
      <c r="AM250" s="316">
        <v>16</v>
      </c>
      <c r="AN250" s="316">
        <v>122</v>
      </c>
      <c r="AO250" s="316" t="str">
        <v>Yes</v>
      </c>
      <c r="AP250" s="53" t="str">
        <v>D. Tosi</v>
      </c>
      <c r="AQ250" s="53">
        <v>44477</v>
      </c>
      <c r="AR250" s="53" t="str">
        <v>D. Tosi</v>
      </c>
      <c r="AS250" s="53">
        <v>44477</v>
      </c>
      <c r="AT250" s="53" t="str">
        <v>-</v>
      </c>
    </row>
    <row r="251" spans="1:46" s="8" customFormat="1" ht="51" x14ac:dyDescent="0.2">
      <c r="A251" s="275">
        <v>1.3</v>
      </c>
      <c r="B251" s="276" t="str">
        <v>Installation</v>
      </c>
      <c r="C251" s="277" t="str">
        <v>Special Devices 89-93</v>
      </c>
      <c r="D251" s="278" t="str">
        <v>Special devices for 5 remaining strings from UW (4+1 FOM,2+1 Radio Receivers, 11+1 LOM + seismometer*) - Do Not Deep Freeze</v>
      </c>
      <c r="E251" s="4">
        <v>81</v>
      </c>
      <c r="F251" s="4">
        <v>56</v>
      </c>
      <c r="G251" s="4">
        <v>51</v>
      </c>
      <c r="H251" s="4">
        <v>1</v>
      </c>
      <c r="I251" s="539">
        <v>134</v>
      </c>
      <c r="J251" s="4">
        <v>134</v>
      </c>
      <c r="K251" s="4">
        <v>1797</v>
      </c>
      <c r="L251" s="4">
        <v>1797</v>
      </c>
      <c r="M251" s="4" t="str">
        <v>estimated</v>
      </c>
      <c r="N251" s="4" t="str">
        <v>DNDF [-40C]</v>
      </c>
      <c r="O251" s="756" t="str">
        <v>UWM/Kansas</v>
      </c>
      <c r="P251" s="758">
        <v>61</v>
      </c>
      <c r="Q251" s="878">
        <v>45809</v>
      </c>
      <c r="R251" s="757">
        <v>45870</v>
      </c>
      <c r="S251" s="757" t="str">
        <v>UWM - PTH</v>
      </c>
      <c r="T251" s="757" t="str">
        <v>Truck</v>
      </c>
      <c r="U251" s="742" t="str">
        <v>PTH - CHC</v>
      </c>
      <c r="V251" s="742" t="str">
        <v>FY26 inter</v>
      </c>
      <c r="W251" s="742" t="str">
        <v>FY26 ComSur</v>
      </c>
      <c r="X251" s="742" t="str">
        <v>USAP Air</v>
      </c>
      <c r="Y251" s="774" t="str">
        <v>-</v>
      </c>
      <c r="Z251" s="774" t="str">
        <v>-</v>
      </c>
      <c r="AA251" s="774" t="str">
        <v>-</v>
      </c>
      <c r="AB251" s="774" t="str">
        <v>-</v>
      </c>
      <c r="AC251" s="774">
        <v>1.5</v>
      </c>
      <c r="AD251" s="702">
        <v>45962</v>
      </c>
      <c r="AE251" s="363" t="str">
        <v>FY26 intra</v>
      </c>
      <c r="AF251" s="363" t="str">
        <v>FY26 LC-130</v>
      </c>
      <c r="AG251" s="316" t="str">
        <v>-</v>
      </c>
      <c r="AH251" s="316" t="str">
        <v>-</v>
      </c>
      <c r="AI251" s="316" t="str">
        <v>-</v>
      </c>
      <c r="AJ251" s="316">
        <v>1.5</v>
      </c>
      <c r="AK251" s="53">
        <v>45986</v>
      </c>
      <c r="AL251" s="53">
        <v>46001</v>
      </c>
      <c r="AM251" s="316">
        <v>15</v>
      </c>
      <c r="AN251" s="316">
        <v>131</v>
      </c>
      <c r="AO251" s="316" t="str">
        <v>Yes</v>
      </c>
      <c r="AP251" s="53" t="str">
        <v>S. Boeser</v>
      </c>
      <c r="AQ251" s="53">
        <v>44482</v>
      </c>
      <c r="AR251" s="53" t="str">
        <v>D. Tosi</v>
      </c>
      <c r="AS251" s="53">
        <v>44482</v>
      </c>
      <c r="AT251" s="53" t="str">
        <v xml:space="preserve">21 Special Devices from USA (11+ 1 LOM, 4+1 FOM, 2+1 RR, FTS ? , seismometer), assume mDOM weight. 200 lbs wood crate. FTS not included. (*) Seismometer not yet in CMD </v>
      </c>
    </row>
    <row r="252" spans="1:46" s="8" customFormat="1" ht="34" x14ac:dyDescent="0.2">
      <c r="A252" s="9">
        <v>1.5</v>
      </c>
      <c r="B252" s="38" t="str">
        <v>Installation</v>
      </c>
      <c r="C252" s="11" t="str">
        <v>Calibration/Special Devices  89-93</v>
      </c>
      <c r="D252" s="3" t="str">
        <v>8+1 PencilBeams, 12+1 pDOMs from UW - Do Not Deep Freeze</v>
      </c>
      <c r="E252" s="4">
        <v>75</v>
      </c>
      <c r="F252" s="4">
        <v>56.5</v>
      </c>
      <c r="G252" s="4">
        <v>41</v>
      </c>
      <c r="H252" s="4">
        <v>1</v>
      </c>
      <c r="I252" s="539">
        <v>101</v>
      </c>
      <c r="J252" s="4">
        <v>101</v>
      </c>
      <c r="K252" s="4">
        <v>1602</v>
      </c>
      <c r="L252" s="4">
        <v>1602</v>
      </c>
      <c r="M252" s="4" t="str">
        <v>preliminary</v>
      </c>
      <c r="N252" s="4" t="str">
        <v>DNDF [-40C]</v>
      </c>
      <c r="O252" s="756" t="str">
        <v xml:space="preserve"> U. Wisc. Madison</v>
      </c>
      <c r="P252" s="758">
        <v>61</v>
      </c>
      <c r="Q252" s="878">
        <v>45809</v>
      </c>
      <c r="R252" s="757">
        <v>45870</v>
      </c>
      <c r="S252" s="757" t="str">
        <v>UWM - PTH</v>
      </c>
      <c r="T252" s="757" t="str">
        <v>Truck</v>
      </c>
      <c r="U252" s="742" t="str">
        <v>PTH - CHC</v>
      </c>
      <c r="V252" s="742" t="str">
        <v>FY26 inter</v>
      </c>
      <c r="W252" s="742" t="str">
        <v>FY26 ComSur</v>
      </c>
      <c r="X252" s="742" t="str">
        <v>USAP Air</v>
      </c>
      <c r="Y252" s="774" t="str">
        <v>-</v>
      </c>
      <c r="Z252" s="774" t="str">
        <v>-</v>
      </c>
      <c r="AA252" s="774" t="str">
        <v>-</v>
      </c>
      <c r="AB252" s="774" t="str">
        <v>-</v>
      </c>
      <c r="AC252" s="774">
        <v>0.5</v>
      </c>
      <c r="AD252" s="702">
        <v>45962</v>
      </c>
      <c r="AE252" s="363" t="str">
        <v>FY26 intra</v>
      </c>
      <c r="AF252" s="363" t="str">
        <v>FY26 LC-130</v>
      </c>
      <c r="AG252" s="316" t="str">
        <v>-</v>
      </c>
      <c r="AH252" s="316" t="str">
        <v>-</v>
      </c>
      <c r="AI252" s="316" t="str">
        <v>-</v>
      </c>
      <c r="AJ252" s="316">
        <v>0.5</v>
      </c>
      <c r="AK252" s="53">
        <v>45986</v>
      </c>
      <c r="AL252" s="53">
        <v>46001</v>
      </c>
      <c r="AM252" s="316">
        <v>15</v>
      </c>
      <c r="AN252" s="316">
        <v>131</v>
      </c>
      <c r="AO252" s="316" t="str">
        <v>Yes</v>
      </c>
      <c r="AP252" s="53" t="str">
        <v>D. Williams</v>
      </c>
      <c r="AQ252" s="53">
        <v>44482</v>
      </c>
      <c r="AR252" s="53" t="str">
        <v>D. Tosi</v>
      </c>
      <c r="AS252" s="53">
        <v>44474</v>
      </c>
      <c r="AT252" s="53" t="str">
        <v xml:space="preserve">8+1 PencilBeams for strings 89-93, 12+1 pDOMs, assume mDOM weight. 244 lbs crate. </v>
      </c>
    </row>
    <row r="253" spans="1:46" s="8" customFormat="1" ht="34" x14ac:dyDescent="0.2">
      <c r="A253" s="9">
        <v>1.5</v>
      </c>
      <c r="B253" s="38" t="str">
        <v>Installation</v>
      </c>
      <c r="C253" s="11" t="str">
        <v>Dust logging device</v>
      </c>
      <c r="D253" s="3" t="str">
        <v>Blue Logging device - sensitive equipment - Do Not Freeze</v>
      </c>
      <c r="E253" s="4">
        <v>48</v>
      </c>
      <c r="F253" s="4">
        <v>17</v>
      </c>
      <c r="G253" s="4">
        <v>17</v>
      </c>
      <c r="H253" s="4">
        <v>1</v>
      </c>
      <c r="I253" s="539">
        <v>9</v>
      </c>
      <c r="J253" s="4">
        <v>9</v>
      </c>
      <c r="K253" s="4">
        <v>60</v>
      </c>
      <c r="L253" s="4">
        <v>60</v>
      </c>
      <c r="M253" s="4" t="str">
        <v>actual</v>
      </c>
      <c r="N253" s="4" t="str">
        <v>DNF</v>
      </c>
      <c r="O253" s="756" t="str">
        <v xml:space="preserve"> U. Wisc. Madison</v>
      </c>
      <c r="P253" s="758">
        <v>61</v>
      </c>
      <c r="Q253" s="878">
        <v>45809</v>
      </c>
      <c r="R253" s="757">
        <v>45870</v>
      </c>
      <c r="S253" s="757" t="str">
        <v>UWM - PTH</v>
      </c>
      <c r="T253" s="757" t="str">
        <v>Truck</v>
      </c>
      <c r="U253" s="742" t="str">
        <v>PTH - CHC</v>
      </c>
      <c r="V253" s="742" t="str">
        <v>FY26 inter</v>
      </c>
      <c r="W253" s="742" t="str">
        <v>FY26 ComSur</v>
      </c>
      <c r="X253" s="742" t="str">
        <v>USAP Air</v>
      </c>
      <c r="Y253" s="774" t="str">
        <v>-</v>
      </c>
      <c r="Z253" s="774" t="str">
        <v>-</v>
      </c>
      <c r="AA253" s="774" t="str">
        <v>-</v>
      </c>
      <c r="AB253" s="774" t="str">
        <v>-</v>
      </c>
      <c r="AC253" s="774">
        <v>6.25E-2</v>
      </c>
      <c r="AD253" s="702">
        <v>45962</v>
      </c>
      <c r="AE253" s="363" t="str">
        <v>FY26 intra</v>
      </c>
      <c r="AF253" s="363" t="str">
        <v>FY26 LC-130</v>
      </c>
      <c r="AG253" s="316" t="str">
        <v>-</v>
      </c>
      <c r="AH253" s="316" t="str">
        <v>-</v>
      </c>
      <c r="AI253" s="316" t="str">
        <v>-</v>
      </c>
      <c r="AJ253" s="316">
        <v>6.25E-2</v>
      </c>
      <c r="AK253" s="53">
        <v>45986</v>
      </c>
      <c r="AL253" s="53">
        <v>46001</v>
      </c>
      <c r="AM253" s="316">
        <v>15</v>
      </c>
      <c r="AN253" s="316">
        <v>131</v>
      </c>
      <c r="AO253" s="316" t="str">
        <v>Yes</v>
      </c>
      <c r="AP253" s="53" t="str">
        <v>D. Williams</v>
      </c>
      <c r="AQ253" s="53">
        <v>44483</v>
      </c>
      <c r="AR253" s="53" t="str">
        <v>D. Tosi</v>
      </c>
      <c r="AS253" s="53">
        <v>44457</v>
      </c>
      <c r="AT253" s="53" t="str">
        <v>Used weights from last deployment season shipment data (could be combined)</v>
      </c>
    </row>
    <row r="254" spans="1:46" s="8" customFormat="1" ht="34" x14ac:dyDescent="0.2">
      <c r="A254" s="9">
        <v>1.5</v>
      </c>
      <c r="B254" s="38" t="str">
        <v>Installation</v>
      </c>
      <c r="C254" s="11" t="str">
        <v>Dust logging device</v>
      </c>
      <c r="D254" s="3" t="str">
        <v>Green Logging device - sensitive equipment - Do Not Freeze</v>
      </c>
      <c r="E254" s="4">
        <v>48</v>
      </c>
      <c r="F254" s="4">
        <v>17</v>
      </c>
      <c r="G254" s="4">
        <v>17</v>
      </c>
      <c r="H254" s="4">
        <v>1</v>
      </c>
      <c r="I254" s="539">
        <v>9</v>
      </c>
      <c r="J254" s="4">
        <v>9</v>
      </c>
      <c r="K254" s="4">
        <v>60</v>
      </c>
      <c r="L254" s="4">
        <v>60</v>
      </c>
      <c r="M254" s="4" t="str">
        <v>actual</v>
      </c>
      <c r="N254" s="4" t="str">
        <v>DNF</v>
      </c>
      <c r="O254" s="756" t="str">
        <v xml:space="preserve"> U. Wisc. Madison</v>
      </c>
      <c r="P254" s="758">
        <v>61</v>
      </c>
      <c r="Q254" s="878">
        <v>45809</v>
      </c>
      <c r="R254" s="757">
        <v>45870</v>
      </c>
      <c r="S254" s="757" t="str">
        <v>UWM - PTH</v>
      </c>
      <c r="T254" s="757" t="str">
        <v>Truck</v>
      </c>
      <c r="U254" s="742" t="str">
        <v>PTH - CHC</v>
      </c>
      <c r="V254" s="742" t="str">
        <v>FY26 inter</v>
      </c>
      <c r="W254" s="742" t="str">
        <v>FY26 ComSur</v>
      </c>
      <c r="X254" s="742" t="str">
        <v>USAP Air</v>
      </c>
      <c r="Y254" s="774" t="str">
        <v>-</v>
      </c>
      <c r="Z254" s="774" t="str">
        <v>-</v>
      </c>
      <c r="AA254" s="774" t="str">
        <v>-</v>
      </c>
      <c r="AB254" s="774" t="str">
        <v>-</v>
      </c>
      <c r="AC254" s="774">
        <v>6.25E-2</v>
      </c>
      <c r="AD254" s="702">
        <v>45962</v>
      </c>
      <c r="AE254" s="363" t="str">
        <v>FY26 intra</v>
      </c>
      <c r="AF254" s="363" t="str">
        <v>FY26 LC-130</v>
      </c>
      <c r="AG254" s="316" t="str">
        <v>-</v>
      </c>
      <c r="AH254" s="316" t="str">
        <v>-</v>
      </c>
      <c r="AI254" s="316" t="str">
        <v>-</v>
      </c>
      <c r="AJ254" s="316">
        <v>6.25E-2</v>
      </c>
      <c r="AK254" s="53">
        <v>45986</v>
      </c>
      <c r="AL254" s="53">
        <v>46001</v>
      </c>
      <c r="AM254" s="316">
        <v>15</v>
      </c>
      <c r="AN254" s="316">
        <v>131</v>
      </c>
      <c r="AO254" s="316" t="str">
        <v>Yes</v>
      </c>
      <c r="AP254" s="53" t="str">
        <v>D. Williams</v>
      </c>
      <c r="AQ254" s="53">
        <v>44483</v>
      </c>
      <c r="AR254" s="53" t="str">
        <v>D. Tosi</v>
      </c>
      <c r="AS254" s="53">
        <v>44458</v>
      </c>
      <c r="AT254" s="53" t="str">
        <v>Used weights from last deployment season shipment data (could be combined)</v>
      </c>
    </row>
    <row r="255" spans="1:46" s="8" customFormat="1" ht="34" x14ac:dyDescent="0.2">
      <c r="A255" s="275">
        <v>1.5</v>
      </c>
      <c r="B255" s="276" t="str">
        <v>Installation</v>
      </c>
      <c r="C255" s="277" t="str">
        <v>Dust logging device</v>
      </c>
      <c r="D255" s="278" t="str">
        <v>Electronics parts - sensitive equipment - Do Not Freeze</v>
      </c>
      <c r="E255" s="4">
        <v>26</v>
      </c>
      <c r="F255" s="4">
        <v>24</v>
      </c>
      <c r="G255" s="4">
        <v>24</v>
      </c>
      <c r="H255" s="4">
        <v>1</v>
      </c>
      <c r="I255" s="539">
        <v>9</v>
      </c>
      <c r="J255" s="4">
        <v>9</v>
      </c>
      <c r="K255" s="4">
        <v>120</v>
      </c>
      <c r="L255" s="4">
        <v>120</v>
      </c>
      <c r="M255" s="4" t="str">
        <v>actual</v>
      </c>
      <c r="N255" s="4" t="str">
        <v>DNF</v>
      </c>
      <c r="O255" s="756" t="str">
        <v xml:space="preserve"> U. Wisc. Madison</v>
      </c>
      <c r="P255" s="758">
        <v>61</v>
      </c>
      <c r="Q255" s="878">
        <v>45809</v>
      </c>
      <c r="R255" s="757">
        <v>45870</v>
      </c>
      <c r="S255" s="757" t="str">
        <v>UWM - PTH</v>
      </c>
      <c r="T255" s="757" t="str">
        <v>Truck</v>
      </c>
      <c r="U255" s="742" t="str">
        <v>PTH - CHC</v>
      </c>
      <c r="V255" s="742" t="str">
        <v>FY26 inter</v>
      </c>
      <c r="W255" s="742" t="str">
        <v>FY26 ComSur</v>
      </c>
      <c r="X255" s="742" t="str">
        <v>USAP Air</v>
      </c>
      <c r="Y255" s="774" t="str">
        <v>-</v>
      </c>
      <c r="Z255" s="774" t="str">
        <v>-</v>
      </c>
      <c r="AA255" s="774" t="str">
        <v>-</v>
      </c>
      <c r="AB255" s="774" t="str">
        <v>-</v>
      </c>
      <c r="AC255" s="774">
        <v>6.25E-2</v>
      </c>
      <c r="AD255" s="702">
        <v>45962</v>
      </c>
      <c r="AE255" s="363" t="str">
        <v>FY26 intra</v>
      </c>
      <c r="AF255" s="363" t="str">
        <v>FY26 LC-130</v>
      </c>
      <c r="AG255" s="316" t="str">
        <v>-</v>
      </c>
      <c r="AH255" s="316" t="str">
        <v>-</v>
      </c>
      <c r="AI255" s="316" t="str">
        <v>-</v>
      </c>
      <c r="AJ255" s="316">
        <v>6.25E-2</v>
      </c>
      <c r="AK255" s="53">
        <v>45986</v>
      </c>
      <c r="AL255" s="53">
        <v>46001</v>
      </c>
      <c r="AM255" s="316">
        <v>15</v>
      </c>
      <c r="AN255" s="316">
        <v>131</v>
      </c>
      <c r="AO255" s="316" t="str">
        <v>Yes</v>
      </c>
      <c r="AP255" s="53" t="str">
        <v>D. Williams</v>
      </c>
      <c r="AQ255" s="53">
        <v>44483</v>
      </c>
      <c r="AR255" s="53" t="str">
        <v>D. Tosi</v>
      </c>
      <c r="AS255" s="53">
        <v>44459</v>
      </c>
      <c r="AT255" s="53" t="str">
        <v>Used weights from last deployment season shipment data (could be combined)</v>
      </c>
    </row>
    <row r="256" spans="1:46" s="8" customFormat="1" ht="34" x14ac:dyDescent="0.2">
      <c r="A256" s="9">
        <v>1.5</v>
      </c>
      <c r="B256" s="38" t="str">
        <v>Installation</v>
      </c>
      <c r="C256" s="11" t="str">
        <v>Dust logging device</v>
      </c>
      <c r="D256" s="3" t="str">
        <v>Electronics parts - sensitive equipment - Do Not Freeze</v>
      </c>
      <c r="E256" s="4">
        <v>26</v>
      </c>
      <c r="F256" s="4">
        <v>23</v>
      </c>
      <c r="G256" s="4">
        <v>20</v>
      </c>
      <c r="H256" s="4">
        <v>1</v>
      </c>
      <c r="I256" s="539">
        <v>7</v>
      </c>
      <c r="J256" s="4">
        <v>7</v>
      </c>
      <c r="K256" s="4">
        <v>60</v>
      </c>
      <c r="L256" s="4">
        <v>60</v>
      </c>
      <c r="M256" s="4" t="str">
        <v>actual</v>
      </c>
      <c r="N256" s="4" t="str">
        <v>DNF</v>
      </c>
      <c r="O256" s="756" t="str">
        <v xml:space="preserve"> U. Wisc. Madison</v>
      </c>
      <c r="P256" s="758">
        <v>61</v>
      </c>
      <c r="Q256" s="878">
        <v>45809</v>
      </c>
      <c r="R256" s="757">
        <v>45870</v>
      </c>
      <c r="S256" s="757" t="str">
        <v>UWM - PTH</v>
      </c>
      <c r="T256" s="757" t="str">
        <v>Truck</v>
      </c>
      <c r="U256" s="742" t="str">
        <v>PTH - CHC</v>
      </c>
      <c r="V256" s="742" t="str">
        <v>FY26 inter</v>
      </c>
      <c r="W256" s="742" t="str">
        <v>FY26 ComSur</v>
      </c>
      <c r="X256" s="742" t="str">
        <v>USAP Air</v>
      </c>
      <c r="Y256" s="774" t="str">
        <v>-</v>
      </c>
      <c r="Z256" s="774" t="str">
        <v>-</v>
      </c>
      <c r="AA256" s="774" t="str">
        <v>-</v>
      </c>
      <c r="AB256" s="774" t="str">
        <v>-</v>
      </c>
      <c r="AC256" s="774">
        <v>6.25E-2</v>
      </c>
      <c r="AD256" s="702">
        <v>45962</v>
      </c>
      <c r="AE256" s="363" t="str">
        <v>FY26 intra</v>
      </c>
      <c r="AF256" s="363" t="str">
        <v>FY26 LC-130</v>
      </c>
      <c r="AG256" s="316" t="str">
        <v>-</v>
      </c>
      <c r="AH256" s="316" t="str">
        <v>-</v>
      </c>
      <c r="AI256" s="316" t="str">
        <v>-</v>
      </c>
      <c r="AJ256" s="316">
        <v>6.25E-2</v>
      </c>
      <c r="AK256" s="53">
        <v>45986</v>
      </c>
      <c r="AL256" s="53">
        <v>46001</v>
      </c>
      <c r="AM256" s="316">
        <v>15</v>
      </c>
      <c r="AN256" s="316">
        <v>131</v>
      </c>
      <c r="AO256" s="316" t="str">
        <v>Yes</v>
      </c>
      <c r="AP256" s="53" t="str">
        <v>D. Williams</v>
      </c>
      <c r="AQ256" s="53">
        <v>44483</v>
      </c>
      <c r="AR256" s="53" t="str">
        <v>D. Tosi</v>
      </c>
      <c r="AS256" s="53">
        <v>44460</v>
      </c>
      <c r="AT256" s="53" t="str">
        <v>Used weights from last deployment season shipment data (could be combined)</v>
      </c>
    </row>
    <row r="257" spans="1:46" s="8" customFormat="1" ht="34" x14ac:dyDescent="0.2">
      <c r="A257" s="9">
        <v>1.5</v>
      </c>
      <c r="B257" s="38" t="str">
        <v>Installation</v>
      </c>
      <c r="C257" s="11" t="str">
        <v>Logging winch</v>
      </c>
      <c r="D257" s="3" t="str">
        <v xml:space="preserve">Winch to be used for Dust Logging </v>
      </c>
      <c r="E257" s="4">
        <v>86</v>
      </c>
      <c r="F257" s="4">
        <v>60</v>
      </c>
      <c r="G257" s="4">
        <v>68</v>
      </c>
      <c r="H257" s="4">
        <v>1</v>
      </c>
      <c r="I257" s="539">
        <v>204</v>
      </c>
      <c r="J257" s="4">
        <v>204</v>
      </c>
      <c r="K257" s="4">
        <v>3500</v>
      </c>
      <c r="L257" s="4">
        <v>3500</v>
      </c>
      <c r="M257" s="4" t="str">
        <v>preliminary</v>
      </c>
      <c r="N257" s="4">
        <v>0</v>
      </c>
      <c r="O257" s="756" t="str">
        <v xml:space="preserve"> U. Wisc. Madison</v>
      </c>
      <c r="P257" s="758">
        <v>61</v>
      </c>
      <c r="Q257" s="878">
        <v>45809</v>
      </c>
      <c r="R257" s="757">
        <v>45870</v>
      </c>
      <c r="S257" s="757" t="str">
        <v>UWM - PTH</v>
      </c>
      <c r="T257" s="757" t="str">
        <v>Truck</v>
      </c>
      <c r="U257" s="742" t="str">
        <v>PTH - CHC</v>
      </c>
      <c r="V257" s="742" t="str">
        <v>FY26 inter</v>
      </c>
      <c r="W257" s="742" t="str">
        <v>FY26 ComSur</v>
      </c>
      <c r="X257" s="742" t="str">
        <v>USAP Air</v>
      </c>
      <c r="Y257" s="774" t="str">
        <v>-</v>
      </c>
      <c r="Z257" s="774" t="str">
        <v>-</v>
      </c>
      <c r="AA257" s="774" t="str">
        <v>-</v>
      </c>
      <c r="AB257" s="774" t="str">
        <v>-</v>
      </c>
      <c r="AC257" s="774">
        <v>0.5</v>
      </c>
      <c r="AD257" s="702">
        <v>45962</v>
      </c>
      <c r="AE257" s="363" t="str">
        <v>FY26 intra</v>
      </c>
      <c r="AF257" s="363" t="str">
        <v>FY26 LC-130</v>
      </c>
      <c r="AG257" s="316" t="str">
        <v>-</v>
      </c>
      <c r="AH257" s="316" t="str">
        <v>-</v>
      </c>
      <c r="AI257" s="316" t="str">
        <v>-</v>
      </c>
      <c r="AJ257" s="316">
        <v>0.5</v>
      </c>
      <c r="AK257" s="53">
        <v>45986</v>
      </c>
      <c r="AL257" s="53">
        <v>46001</v>
      </c>
      <c r="AM257" s="316">
        <v>15</v>
      </c>
      <c r="AN257" s="316">
        <v>131</v>
      </c>
      <c r="AO257" s="316" t="str">
        <v>Yes</v>
      </c>
      <c r="AP257" s="53" t="str">
        <v>D. Tosi</v>
      </c>
      <c r="AQ257" s="53">
        <v>44477</v>
      </c>
      <c r="AR257" s="53" t="str">
        <v>I. McEwen</v>
      </c>
      <c r="AS257" s="53">
        <v>44477</v>
      </c>
      <c r="AT257" s="53" t="str">
        <v>Used weights and cubes of IDP deep logging winch. Send back end of season</v>
      </c>
    </row>
    <row r="258" spans="1:46" s="8" customFormat="1" ht="34" x14ac:dyDescent="0.2">
      <c r="A258" s="9">
        <v>1.5</v>
      </c>
      <c r="B258" s="38" t="str">
        <v>Installation</v>
      </c>
      <c r="C258" s="11" t="str">
        <v>Logging winch control box</v>
      </c>
      <c r="D258" s="3" t="str">
        <v>Control Box for winch for Dust Logging  - sensitive equipment - Do Not Freeze</v>
      </c>
      <c r="E258" s="4">
        <v>48</v>
      </c>
      <c r="F258" s="4">
        <v>48</v>
      </c>
      <c r="G258" s="4">
        <v>36</v>
      </c>
      <c r="H258" s="4">
        <v>1</v>
      </c>
      <c r="I258" s="539">
        <v>48</v>
      </c>
      <c r="J258" s="4">
        <v>48</v>
      </c>
      <c r="K258" s="4">
        <v>400</v>
      </c>
      <c r="L258" s="4">
        <v>400</v>
      </c>
      <c r="M258" s="4" t="str">
        <v>preliminary</v>
      </c>
      <c r="N258" s="4" t="str">
        <v>DNF</v>
      </c>
      <c r="O258" s="756" t="str">
        <v xml:space="preserve"> U. Wisc. Madison</v>
      </c>
      <c r="P258" s="758">
        <v>61</v>
      </c>
      <c r="Q258" s="878">
        <v>45809</v>
      </c>
      <c r="R258" s="757">
        <v>45870</v>
      </c>
      <c r="S258" s="757" t="str">
        <v>UWM - PTH</v>
      </c>
      <c r="T258" s="757" t="str">
        <v>Truck</v>
      </c>
      <c r="U258" s="742" t="str">
        <v>PTH - CHC</v>
      </c>
      <c r="V258" s="742" t="str">
        <v>FY26 inter</v>
      </c>
      <c r="W258" s="742" t="str">
        <v>FY26 ComSur</v>
      </c>
      <c r="X258" s="742" t="str">
        <v>USAP Air</v>
      </c>
      <c r="Y258" s="774" t="str">
        <v>-</v>
      </c>
      <c r="Z258" s="774" t="str">
        <v>-</v>
      </c>
      <c r="AA258" s="774" t="str">
        <v>-</v>
      </c>
      <c r="AB258" s="774" t="str">
        <v>-</v>
      </c>
      <c r="AC258" s="774">
        <v>0.25</v>
      </c>
      <c r="AD258" s="702">
        <v>45962</v>
      </c>
      <c r="AE258" s="363" t="str">
        <v>FY26 intra</v>
      </c>
      <c r="AF258" s="363" t="str">
        <v>FY26 LC-130</v>
      </c>
      <c r="AG258" s="316" t="str">
        <v>-</v>
      </c>
      <c r="AH258" s="316" t="str">
        <v>-</v>
      </c>
      <c r="AI258" s="316" t="str">
        <v>-</v>
      </c>
      <c r="AJ258" s="316">
        <v>0.25</v>
      </c>
      <c r="AK258" s="53">
        <v>45986</v>
      </c>
      <c r="AL258" s="53">
        <v>46001</v>
      </c>
      <c r="AM258" s="316">
        <v>15</v>
      </c>
      <c r="AN258" s="316">
        <v>131</v>
      </c>
      <c r="AO258" s="316" t="str">
        <v>Yes</v>
      </c>
      <c r="AP258" s="53" t="str">
        <v>D. Tosi</v>
      </c>
      <c r="AQ258" s="53">
        <v>44477</v>
      </c>
      <c r="AR258" s="53" t="str">
        <v>I. McEwen</v>
      </c>
      <c r="AS258" s="53">
        <v>44477</v>
      </c>
      <c r="AT258" s="53" t="str">
        <v>Used weights and cubes of IDP deep logging winch. Send back end of season</v>
      </c>
    </row>
    <row r="259" spans="1:46" s="8" customFormat="1" ht="51" x14ac:dyDescent="0.2">
      <c r="A259" s="275">
        <v>1.4</v>
      </c>
      <c r="B259" s="276" t="str">
        <v>Installation</v>
      </c>
      <c r="C259" s="277" t="str">
        <v>Breakout cables for strings 89-93</v>
      </c>
      <c r="D259" s="278" t="str">
        <v>Stored in McMurdo FY24. 5 wooden crates containing spooled breakout cable assemblies - 96 cf/ 1,000 lbs each (preliminary) -  Do Not Deep Freeze</v>
      </c>
      <c r="E259" s="4">
        <v>72</v>
      </c>
      <c r="F259" s="4">
        <v>48</v>
      </c>
      <c r="G259" s="4">
        <v>48</v>
      </c>
      <c r="H259" s="4">
        <v>5</v>
      </c>
      <c r="I259" s="539">
        <v>96</v>
      </c>
      <c r="J259" s="4">
        <v>480</v>
      </c>
      <c r="K259" s="4">
        <v>1000</v>
      </c>
      <c r="L259" s="4">
        <v>5000</v>
      </c>
      <c r="M259" s="4" t="str">
        <v>estimated</v>
      </c>
      <c r="N259" s="4" t="str">
        <v>DNDF[-40C](*)</v>
      </c>
      <c r="O259" s="756" t="str">
        <v>MSU</v>
      </c>
      <c r="P259" s="758">
        <v>379</v>
      </c>
      <c r="Q259" s="878">
        <v>45201</v>
      </c>
      <c r="R259" s="757">
        <v>45580</v>
      </c>
      <c r="S259" s="757" t="str">
        <v>MSU - PTH</v>
      </c>
      <c r="T259" s="757" t="str">
        <v>Truck</v>
      </c>
      <c r="U259" s="742" t="str">
        <v>PTH - MCM</v>
      </c>
      <c r="V259" s="742" t="str">
        <v>FY25 inter</v>
      </c>
      <c r="W259" s="742" t="str">
        <v>FY25 Vessel</v>
      </c>
      <c r="X259" s="742" t="str">
        <v>USAP Vessel</v>
      </c>
      <c r="Y259" s="774" t="str">
        <v>-</v>
      </c>
      <c r="Z259" s="774" t="str">
        <v>-</v>
      </c>
      <c r="AA259" s="774">
        <v>2</v>
      </c>
      <c r="AB259" s="774" t="str">
        <v>-</v>
      </c>
      <c r="AC259" s="774" t="str">
        <v>-</v>
      </c>
      <c r="AD259" s="702">
        <v>45694</v>
      </c>
      <c r="AE259" s="363" t="str">
        <v>FY26 intra</v>
      </c>
      <c r="AF259" s="363" t="str">
        <v>FY26 LC-130</v>
      </c>
      <c r="AG259" s="316" t="str">
        <v>-</v>
      </c>
      <c r="AH259" s="316" t="str">
        <v>-</v>
      </c>
      <c r="AI259" s="316" t="str">
        <v>-</v>
      </c>
      <c r="AJ259" s="316">
        <v>1</v>
      </c>
      <c r="AK259" s="53">
        <v>45986</v>
      </c>
      <c r="AL259" s="53">
        <v>46001</v>
      </c>
      <c r="AM259" s="316">
        <v>15</v>
      </c>
      <c r="AN259" s="316">
        <v>421</v>
      </c>
      <c r="AO259" s="316" t="str">
        <v>Yes</v>
      </c>
      <c r="AP259" s="53" t="str">
        <v>T. DeYoung</v>
      </c>
      <c r="AQ259" s="53">
        <v>44459</v>
      </c>
      <c r="AR259" s="53" t="str">
        <v>D. Tosi</v>
      </c>
      <c r="AS259" s="53">
        <v>44662</v>
      </c>
      <c r="AT259" s="53" t="str">
        <v xml:space="preserve">Float in PTH due to storage limitation in MSU.
(*) storage in McMurdo pending low temperature test  </v>
      </c>
    </row>
    <row r="260" spans="1:46" s="8" customFormat="1" ht="34" x14ac:dyDescent="0.2">
      <c r="A260" s="9">
        <v>1.4</v>
      </c>
      <c r="B260" s="38" t="str">
        <v>Installation</v>
      </c>
      <c r="C260" s="11" t="str">
        <v>Main (downhole) load members 87-93 [placeholder, may not be required]</v>
      </c>
      <c r="D260" s="3" t="str">
        <v>May be possible to store in McMurdo until drill season - Do Not Deep Freeze</v>
      </c>
      <c r="E260" s="4">
        <v>47</v>
      </c>
      <c r="F260" s="4">
        <v>47</v>
      </c>
      <c r="G260" s="4">
        <v>39</v>
      </c>
      <c r="H260" s="4">
        <v>7</v>
      </c>
      <c r="I260" s="539">
        <v>50</v>
      </c>
      <c r="J260" s="4">
        <v>350</v>
      </c>
      <c r="K260" s="4">
        <v>766</v>
      </c>
      <c r="L260" s="4">
        <v>5362</v>
      </c>
      <c r="M260" s="4" t="str">
        <v>preliminary</v>
      </c>
      <c r="N260" s="4" t="str">
        <v>DNDF[-40C](*)</v>
      </c>
      <c r="O260" s="756" t="str">
        <v>MSU</v>
      </c>
      <c r="P260" s="758">
        <v>563</v>
      </c>
      <c r="Q260" s="878">
        <v>45017</v>
      </c>
      <c r="R260" s="757">
        <v>45580</v>
      </c>
      <c r="S260" s="757" t="str">
        <v>MSU - PTH</v>
      </c>
      <c r="T260" s="757" t="str">
        <v>Truck</v>
      </c>
      <c r="U260" s="742" t="str">
        <v>PTH - MCM</v>
      </c>
      <c r="V260" s="742" t="str">
        <v>FY25 inter</v>
      </c>
      <c r="W260" s="742" t="str">
        <v>FY25 Vessel</v>
      </c>
      <c r="X260" s="742" t="str">
        <v>USAP Vessel</v>
      </c>
      <c r="Y260" s="774" t="str">
        <v>-</v>
      </c>
      <c r="Z260" s="774" t="str">
        <v>-</v>
      </c>
      <c r="AA260" s="774">
        <v>1</v>
      </c>
      <c r="AB260" s="774" t="str">
        <v>-</v>
      </c>
      <c r="AC260" s="774" t="str">
        <v>-</v>
      </c>
      <c r="AD260" s="702">
        <v>45694</v>
      </c>
      <c r="AE260" s="363" t="str">
        <v>FY26 intra</v>
      </c>
      <c r="AF260" s="363" t="str">
        <v>FY26 SPOT 1</v>
      </c>
      <c r="AG260" s="316">
        <v>1</v>
      </c>
      <c r="AH260" s="316" t="str">
        <v>-</v>
      </c>
      <c r="AI260" s="316" t="str">
        <v>-</v>
      </c>
      <c r="AJ260" s="316" t="str">
        <v>-</v>
      </c>
      <c r="AK260" s="53">
        <v>45992</v>
      </c>
      <c r="AL260" s="53">
        <v>45993</v>
      </c>
      <c r="AM260" s="316">
        <v>1</v>
      </c>
      <c r="AN260" s="316">
        <v>413</v>
      </c>
      <c r="AO260" s="316" t="str">
        <v>Yes</v>
      </c>
      <c r="AP260" s="53" t="str">
        <v>T. DeYoung</v>
      </c>
      <c r="AQ260" s="53">
        <v>44459</v>
      </c>
      <c r="AR260" s="53" t="str">
        <v>D. Tosi</v>
      </c>
      <c r="AS260" s="53">
        <v>44480</v>
      </c>
      <c r="AT260" s="53" t="str">
        <v>Shipping date synched with main (downhole) cables due to storage limitation in MSU. Float in PTH.</v>
      </c>
    </row>
    <row r="261" spans="1:46" s="8" customFormat="1" ht="68" x14ac:dyDescent="0.2">
      <c r="A261" s="9">
        <v>1.4</v>
      </c>
      <c r="B261" s="38" t="str">
        <v>Installation</v>
      </c>
      <c r="C261" s="11" t="str">
        <v>Main (downhole) cables 87-93</v>
      </c>
      <c r="D261" s="3" t="str">
        <v>May be possible to store in McMurdo until drill season - Do Not Deep Freeze</v>
      </c>
      <c r="E261" s="4">
        <v>96</v>
      </c>
      <c r="F261" s="4">
        <v>96</v>
      </c>
      <c r="G261" s="4">
        <v>96</v>
      </c>
      <c r="H261" s="4">
        <v>7</v>
      </c>
      <c r="I261" s="539">
        <v>512</v>
      </c>
      <c r="J261" s="4">
        <v>3584</v>
      </c>
      <c r="K261" s="4">
        <v>15000</v>
      </c>
      <c r="L261" s="4">
        <v>105000</v>
      </c>
      <c r="M261" s="4" t="str">
        <v>preliminary</v>
      </c>
      <c r="N261" s="4" t="str">
        <v>DNDF[-40C](*)</v>
      </c>
      <c r="O261" s="756" t="str">
        <v>MSU</v>
      </c>
      <c r="P261" s="758">
        <v>31</v>
      </c>
      <c r="Q261" s="878">
        <v>45183</v>
      </c>
      <c r="R261" s="757">
        <v>45214</v>
      </c>
      <c r="S261" s="757" t="str">
        <v>MSU - PTH</v>
      </c>
      <c r="T261" s="757" t="str">
        <v>Truck</v>
      </c>
      <c r="U261" s="742" t="str">
        <v>PTH - MCM</v>
      </c>
      <c r="V261" s="742" t="str">
        <v>FY24 inter</v>
      </c>
      <c r="W261" s="742" t="str">
        <v>FY24 Vessel</v>
      </c>
      <c r="X261" s="742" t="str">
        <v>USAP Vessel</v>
      </c>
      <c r="Y261" s="774" t="str">
        <v>-</v>
      </c>
      <c r="Z261" s="774" t="str">
        <v>-</v>
      </c>
      <c r="AA261" s="774">
        <v>2</v>
      </c>
      <c r="AB261" s="774" t="str">
        <v>-</v>
      </c>
      <c r="AC261" s="774" t="str">
        <v>-</v>
      </c>
      <c r="AD261" s="702">
        <v>45694</v>
      </c>
      <c r="AE261" s="363" t="str">
        <v>FY26 intra</v>
      </c>
      <c r="AF261" s="363" t="str">
        <v>FY26 SPOT 1</v>
      </c>
      <c r="AG261" s="316">
        <v>1.5</v>
      </c>
      <c r="AH261" s="316" t="str">
        <v>-</v>
      </c>
      <c r="AI261" s="316" t="str">
        <v>-</v>
      </c>
      <c r="AJ261" s="316" t="str">
        <v>-</v>
      </c>
      <c r="AK261" s="53">
        <v>45992</v>
      </c>
      <c r="AL261" s="53">
        <v>45993</v>
      </c>
      <c r="AM261" s="316">
        <v>1</v>
      </c>
      <c r="AN261" s="316">
        <v>779</v>
      </c>
      <c r="AO261" s="316" t="str">
        <v>Yes</v>
      </c>
      <c r="AP261" s="53" t="str">
        <v>T. DeYoung</v>
      </c>
      <c r="AQ261" s="53">
        <v>44459</v>
      </c>
      <c r="AR261" s="53" t="str">
        <v>D. Tosi</v>
      </c>
      <c r="AS261" s="53">
        <v>44662</v>
      </c>
      <c r="AT261" s="53" t="str">
        <v>Shipping date chosen to be 2 weeks after scheduled ready to ship date because of storage limitations at MSU. additional 7 months of float at Port Hueneme assuming USAP vessel departure.  (*) storage in McMurdo pending low temperature test.</v>
      </c>
    </row>
    <row r="262" spans="1:46" s="8" customFormat="1" ht="85" x14ac:dyDescent="0.2">
      <c r="A262" s="9">
        <v>1.3</v>
      </c>
      <c r="B262" s="38" t="str">
        <v>Installation</v>
      </c>
      <c r="C262" s="11" t="str">
        <v>String Sensors 89-93 (mDOMs MSU)</v>
      </c>
      <c r="D262" s="3" t="str">
        <v>Optical Sensors for 5 strings from MSU (mDOMs) - Do Not Deep Freeze</v>
      </c>
      <c r="E262" s="4">
        <v>40</v>
      </c>
      <c r="F262" s="4">
        <v>48</v>
      </c>
      <c r="G262" s="4">
        <v>46</v>
      </c>
      <c r="H262" s="4">
        <v>25</v>
      </c>
      <c r="I262" s="539">
        <v>52</v>
      </c>
      <c r="J262" s="4">
        <v>1300</v>
      </c>
      <c r="K262" s="4">
        <v>573</v>
      </c>
      <c r="L262" s="4">
        <v>14325</v>
      </c>
      <c r="M262" s="4" t="str">
        <v>actual(**)</v>
      </c>
      <c r="N262" s="4" t="str">
        <v>DNDF [-40C]</v>
      </c>
      <c r="O262" s="756" t="str">
        <v>MSU</v>
      </c>
      <c r="P262" s="758">
        <v>686</v>
      </c>
      <c r="Q262" s="878">
        <v>45184</v>
      </c>
      <c r="R262" s="757">
        <v>45870</v>
      </c>
      <c r="S262" s="757" t="str">
        <v>MSU - PTH</v>
      </c>
      <c r="T262" s="757" t="str">
        <v>Truck</v>
      </c>
      <c r="U262" s="742" t="str">
        <v>PTH - CHC</v>
      </c>
      <c r="V262" s="742" t="str">
        <v>FY26 inter</v>
      </c>
      <c r="W262" s="742" t="str">
        <v>FY26 ComSur</v>
      </c>
      <c r="X262" s="742" t="str">
        <v>USAP Air</v>
      </c>
      <c r="Y262" s="774" t="str">
        <v>-</v>
      </c>
      <c r="Z262" s="774" t="str">
        <v>-</v>
      </c>
      <c r="AA262" s="774" t="str">
        <v>-</v>
      </c>
      <c r="AB262" s="774" t="str">
        <v>-</v>
      </c>
      <c r="AC262" s="774">
        <v>3</v>
      </c>
      <c r="AD262" s="702">
        <v>45962</v>
      </c>
      <c r="AE262" s="363" t="str">
        <v>FY26 intra</v>
      </c>
      <c r="AF262" s="363" t="str">
        <v>FY26 LC-130</v>
      </c>
      <c r="AG262" s="316" t="str">
        <v>-</v>
      </c>
      <c r="AH262" s="316" t="str">
        <v>-</v>
      </c>
      <c r="AI262" s="316" t="str">
        <v>-</v>
      </c>
      <c r="AJ262" s="316">
        <v>3</v>
      </c>
      <c r="AK262" s="53">
        <v>45986</v>
      </c>
      <c r="AL262" s="53">
        <v>46001</v>
      </c>
      <c r="AM262" s="316">
        <v>15</v>
      </c>
      <c r="AN262" s="316">
        <v>131</v>
      </c>
      <c r="AO262" s="316" t="str">
        <v>Yes</v>
      </c>
      <c r="AP262" s="53" t="str">
        <v>T. Karg</v>
      </c>
      <c r="AQ262" s="53">
        <v>44459</v>
      </c>
      <c r="AR262" s="53" t="str">
        <v>D. Tosi</v>
      </c>
      <c r="AS262" s="53">
        <v>44662</v>
      </c>
      <c r="AT262" s="53" t="str">
        <v>mDOM weight is 28 kg/boxed + 35kg pallet, assume 8 mDOMs/pallet (189 to be deployed + 11 spares)(*)Assumed to be shipped in 2x20' HC  (5115 lbs, 238inx96inx114in) or a 40 ft HC, purchased by MSU or loaned in PTH (container weight not included)</v>
      </c>
    </row>
    <row r="263" spans="1:46" s="8" customFormat="1" ht="51" x14ac:dyDescent="0.2">
      <c r="A263" s="275">
        <v>1.3</v>
      </c>
      <c r="B263" s="276" t="str">
        <v>Installation</v>
      </c>
      <c r="C263" s="277" t="str">
        <v>String Sensors 89-93 (mDOMs MSU)</v>
      </c>
      <c r="D263" s="278" t="str">
        <v>Optical Sensors for 5 strings from MSU (mDOMs) containers (TBD) - Do Not Deep Freeze</v>
      </c>
      <c r="E263" s="4">
        <v>238</v>
      </c>
      <c r="F263" s="4">
        <v>96</v>
      </c>
      <c r="G263" s="4">
        <v>114</v>
      </c>
      <c r="H263" s="4">
        <v>0</v>
      </c>
      <c r="I263" s="539">
        <v>1508</v>
      </c>
      <c r="J263" s="4">
        <v>0</v>
      </c>
      <c r="K263" s="4">
        <v>5115</v>
      </c>
      <c r="L263" s="4">
        <v>0</v>
      </c>
      <c r="M263" s="4" t="str">
        <v>actual(**)</v>
      </c>
      <c r="N263" s="4" t="str">
        <v>DNDF [-40C]</v>
      </c>
      <c r="O263" s="756" t="str">
        <v>MSU</v>
      </c>
      <c r="P263" s="758">
        <v>686</v>
      </c>
      <c r="Q263" s="878">
        <v>45184</v>
      </c>
      <c r="R263" s="757">
        <v>45870</v>
      </c>
      <c r="S263" s="757" t="str">
        <v>MSU - PTH</v>
      </c>
      <c r="T263" s="757" t="str">
        <v>Truck</v>
      </c>
      <c r="U263" s="742" t="str">
        <v>PTH - CHC</v>
      </c>
      <c r="V263" s="742" t="str">
        <v>FY26 inter</v>
      </c>
      <c r="W263" s="742" t="str">
        <v>FY26 ComSur</v>
      </c>
      <c r="X263" s="742" t="str">
        <v>USAP Air</v>
      </c>
      <c r="Y263" s="774" t="str">
        <v>-</v>
      </c>
      <c r="Z263" s="774" t="str">
        <v>-</v>
      </c>
      <c r="AA263" s="774" t="str">
        <v>-</v>
      </c>
      <c r="AB263" s="774" t="str">
        <v>-</v>
      </c>
      <c r="AC263" s="774">
        <v>6.25E-2</v>
      </c>
      <c r="AD263" s="702">
        <v>45962</v>
      </c>
      <c r="AE263" s="363" t="str">
        <v>FY26 intra</v>
      </c>
      <c r="AF263" s="363" t="str">
        <v>FY26 LC-130</v>
      </c>
      <c r="AG263" s="316" t="str">
        <v>-</v>
      </c>
      <c r="AH263" s="316" t="str">
        <v>-</v>
      </c>
      <c r="AI263" s="316" t="str">
        <v>-</v>
      </c>
      <c r="AJ263" s="316">
        <v>6.25E-2</v>
      </c>
      <c r="AK263" s="53">
        <v>45986</v>
      </c>
      <c r="AL263" s="53">
        <v>46001</v>
      </c>
      <c r="AM263" s="316">
        <v>15</v>
      </c>
      <c r="AN263" s="316">
        <v>131</v>
      </c>
      <c r="AO263" s="316" t="str">
        <v>Yes</v>
      </c>
      <c r="AP263" s="53" t="str">
        <v>T. Karg</v>
      </c>
      <c r="AQ263" s="53">
        <v>44459</v>
      </c>
      <c r="AR263" s="53" t="str">
        <v>D. Tosi</v>
      </c>
      <c r="AS263" s="53">
        <v>44662</v>
      </c>
      <c r="AT263" s="53" t="str">
        <v>Assume 2x20HC containers for transport on COMSUR (TBC). Pallets could be loaded to 53 ft truck and loaded into a loaned container in PTH but this would increase touch points (and risk)</v>
      </c>
    </row>
    <row r="264" spans="1:46" s="8" customFormat="1" ht="17" x14ac:dyDescent="0.2">
      <c r="A264" s="9">
        <v>1.3</v>
      </c>
      <c r="B264" s="38" t="str">
        <v>Installation</v>
      </c>
      <c r="C264" s="11" t="str">
        <v>DM-Ice</v>
      </c>
      <c r="D264" s="3" t="str">
        <v>DM-ice (two modules for string 89 and 90) - Do Not Deep Freeze</v>
      </c>
      <c r="E264" s="4">
        <v>48</v>
      </c>
      <c r="F264" s="4">
        <v>48</v>
      </c>
      <c r="G264" s="4">
        <v>48</v>
      </c>
      <c r="H264" s="4">
        <v>1</v>
      </c>
      <c r="I264" s="539">
        <v>64</v>
      </c>
      <c r="J264" s="4">
        <v>64</v>
      </c>
      <c r="K264" s="4">
        <v>1500</v>
      </c>
      <c r="L264" s="4">
        <v>1500</v>
      </c>
      <c r="M264" s="4" t="str">
        <v>estimated</v>
      </c>
      <c r="N264" s="4" t="str">
        <v>DNDF [-40C]</v>
      </c>
      <c r="O264" s="756" t="str">
        <v>Yale</v>
      </c>
      <c r="P264" s="758">
        <v>426</v>
      </c>
      <c r="Q264" s="878">
        <v>45444</v>
      </c>
      <c r="R264" s="757">
        <v>45870</v>
      </c>
      <c r="S264" s="757" t="str">
        <v>Yale - PTH</v>
      </c>
      <c r="T264" s="757" t="str">
        <v>Truck</v>
      </c>
      <c r="U264" s="742" t="str">
        <v>PTH - CHC</v>
      </c>
      <c r="V264" s="742" t="str">
        <v>FY26 inter</v>
      </c>
      <c r="W264" s="742" t="str">
        <v>FY26 ComSur</v>
      </c>
      <c r="X264" s="742" t="str">
        <v>USAP Air</v>
      </c>
      <c r="Y264" s="774" t="str">
        <v>-</v>
      </c>
      <c r="Z264" s="774" t="str">
        <v>-</v>
      </c>
      <c r="AA264" s="774" t="str">
        <v>-</v>
      </c>
      <c r="AB264" s="774" t="str">
        <v>-</v>
      </c>
      <c r="AC264" s="774">
        <v>0.25</v>
      </c>
      <c r="AD264" s="702">
        <v>45962</v>
      </c>
      <c r="AE264" s="363" t="str">
        <v>FY26 intra</v>
      </c>
      <c r="AF264" s="363" t="str">
        <v>FY26 LC-130</v>
      </c>
      <c r="AG264" s="316" t="str">
        <v>-</v>
      </c>
      <c r="AH264" s="316" t="str">
        <v>-</v>
      </c>
      <c r="AI264" s="316" t="str">
        <v>-</v>
      </c>
      <c r="AJ264" s="316">
        <v>0.25</v>
      </c>
      <c r="AK264" s="53">
        <v>45976</v>
      </c>
      <c r="AL264" s="53">
        <v>45996</v>
      </c>
      <c r="AM264" s="316">
        <v>20</v>
      </c>
      <c r="AN264" s="316">
        <v>126</v>
      </c>
      <c r="AO264" s="316" t="str">
        <v>Yes</v>
      </c>
      <c r="AP264" s="53" t="str">
        <v>M. Kauer</v>
      </c>
      <c r="AQ264" s="53">
        <v>44459</v>
      </c>
      <c r="AR264" s="53" t="str">
        <v>D. Tosi</v>
      </c>
      <c r="AS264" s="53">
        <v>44459</v>
      </c>
      <c r="AT264" s="53" t="str">
        <v>-</v>
      </c>
    </row>
    <row r="265" spans="1:46" s="8" customFormat="1" ht="68" x14ac:dyDescent="0.2">
      <c r="A265" s="9">
        <v>1.3</v>
      </c>
      <c r="B265" s="38" t="str">
        <v>Installation</v>
      </c>
      <c r="C265" s="11" t="str">
        <v>String Sensors 89-93 (mDOMs DESY)</v>
      </c>
      <c r="D265" s="3" t="str">
        <v>Optical sensors for 5 strings from Germany (mDOMs) - Do Not Deep Freeze</v>
      </c>
      <c r="E265" s="4">
        <v>40</v>
      </c>
      <c r="F265" s="4">
        <v>48</v>
      </c>
      <c r="G265" s="4">
        <v>46</v>
      </c>
      <c r="H265" s="4">
        <v>12</v>
      </c>
      <c r="I265" s="539">
        <v>52</v>
      </c>
      <c r="J265" s="4">
        <v>624</v>
      </c>
      <c r="K265" s="4">
        <v>573</v>
      </c>
      <c r="L265" s="4">
        <v>6876</v>
      </c>
      <c r="M265" s="4" t="str">
        <v>actual(**)</v>
      </c>
      <c r="N265" s="4" t="str">
        <v>DNDF [-40C]</v>
      </c>
      <c r="O265" s="756" t="str">
        <v>DESY</v>
      </c>
      <c r="P265" s="758">
        <v>721</v>
      </c>
      <c r="Q265" s="878">
        <v>45149</v>
      </c>
      <c r="R265" s="757">
        <v>45870</v>
      </c>
      <c r="S265" s="757" t="str">
        <v>DESY - CHC</v>
      </c>
      <c r="T265" s="757" t="str">
        <v>ComSur</v>
      </c>
      <c r="U265" s="742" t="str">
        <v>DESY-CHC</v>
      </c>
      <c r="V265" s="742" t="str">
        <v>FY26 inter</v>
      </c>
      <c r="W265" s="742" t="str">
        <v>FY26 ComSur</v>
      </c>
      <c r="X265" s="742" t="str">
        <v>USAP Air</v>
      </c>
      <c r="Y265" s="774" t="str">
        <v>-</v>
      </c>
      <c r="Z265" s="774" t="str">
        <v>-</v>
      </c>
      <c r="AA265" s="774" t="str">
        <v>-</v>
      </c>
      <c r="AB265" s="774" t="str">
        <v>-</v>
      </c>
      <c r="AC265" s="774">
        <v>3</v>
      </c>
      <c r="AD265" s="702">
        <v>45962</v>
      </c>
      <c r="AE265" s="363" t="str">
        <v>FY26 intra</v>
      </c>
      <c r="AF265" s="363" t="str">
        <v>FY26 LC-130</v>
      </c>
      <c r="AG265" s="316" t="str">
        <v>-</v>
      </c>
      <c r="AH265" s="316" t="str">
        <v>-</v>
      </c>
      <c r="AI265" s="316" t="str">
        <v>-</v>
      </c>
      <c r="AJ265" s="316">
        <v>3</v>
      </c>
      <c r="AK265" s="53">
        <v>45986</v>
      </c>
      <c r="AL265" s="53">
        <v>46001</v>
      </c>
      <c r="AM265" s="316">
        <v>15</v>
      </c>
      <c r="AN265" s="316">
        <v>131</v>
      </c>
      <c r="AO265" s="316" t="str">
        <v>Yes</v>
      </c>
      <c r="AP265" s="53" t="str">
        <v>T. Karg</v>
      </c>
      <c r="AQ265" s="53">
        <v>44459</v>
      </c>
      <c r="AR265" s="53" t="str">
        <v>D. Tosi</v>
      </c>
      <c r="AS265" s="53">
        <v>44662</v>
      </c>
      <c r="AT265" s="53" t="str">
        <v>mDOM weight is (28kg/sensor boxed) + 35kg pallet, assume 8 mDOMs/pallet - 190 to be deployed + 10 spares. (**) shipped in 20 HC container. Container not included in weight as pallets will be taken out.</v>
      </c>
    </row>
    <row r="266" spans="1:46" s="8" customFormat="1" ht="51" x14ac:dyDescent="0.2">
      <c r="A266" s="9">
        <v>1.3</v>
      </c>
      <c r="B266" s="38" t="str">
        <v>Installation</v>
      </c>
      <c r="C266" s="11" t="str">
        <v>Special Devices 89-93 (Europe)</v>
      </c>
      <c r="D266" s="3" t="str">
        <v>Special devices for 5 remaining strings from DESY/Germany/Sweden (6 WOMs,  3 Abalone Hubs or WOM Traps)  no spares - Do Not Deep Freeze</v>
      </c>
      <c r="E266" s="4">
        <v>32</v>
      </c>
      <c r="F266" s="4">
        <v>31</v>
      </c>
      <c r="G266" s="4">
        <v>89</v>
      </c>
      <c r="H266" s="4">
        <v>1</v>
      </c>
      <c r="I266" s="539">
        <v>52</v>
      </c>
      <c r="J266" s="4">
        <v>52</v>
      </c>
      <c r="K266" s="4">
        <v>1035</v>
      </c>
      <c r="L266" s="4">
        <v>1035</v>
      </c>
      <c r="M266" s="4" t="str">
        <v>preliminary</v>
      </c>
      <c r="N266" s="4" t="str">
        <v>DNDF [-40C]</v>
      </c>
      <c r="O266" s="756" t="str">
        <v>Mainz</v>
      </c>
      <c r="P266" s="758">
        <v>578</v>
      </c>
      <c r="Q266" s="878">
        <v>45292</v>
      </c>
      <c r="R266" s="757">
        <v>45870</v>
      </c>
      <c r="S266" s="757" t="str">
        <v>DESY - CHC</v>
      </c>
      <c r="T266" s="757" t="str">
        <v>ComSur</v>
      </c>
      <c r="U266" s="742" t="str">
        <v>DESY-CHC</v>
      </c>
      <c r="V266" s="742" t="str">
        <v>FY26 inter</v>
      </c>
      <c r="W266" s="742" t="str">
        <v>FY26 ComSur</v>
      </c>
      <c r="X266" s="742" t="str">
        <v>USAP Air</v>
      </c>
      <c r="Y266" s="774" t="str">
        <v>-</v>
      </c>
      <c r="Z266" s="774" t="str">
        <v>-</v>
      </c>
      <c r="AA266" s="774" t="str">
        <v>-</v>
      </c>
      <c r="AB266" s="774" t="str">
        <v>-</v>
      </c>
      <c r="AC266" s="774">
        <v>0.25</v>
      </c>
      <c r="AD266" s="702">
        <v>45962</v>
      </c>
      <c r="AE266" s="363" t="str">
        <v>FY26 intra</v>
      </c>
      <c r="AF266" s="363" t="str">
        <v>FY26 LC-130</v>
      </c>
      <c r="AG266" s="316" t="str">
        <v>-</v>
      </c>
      <c r="AH266" s="316" t="str">
        <v>-</v>
      </c>
      <c r="AI266" s="316" t="str">
        <v>-</v>
      </c>
      <c r="AJ266" s="316">
        <v>0.25</v>
      </c>
      <c r="AK266" s="53">
        <v>45986</v>
      </c>
      <c r="AL266" s="53">
        <v>46001</v>
      </c>
      <c r="AM266" s="316">
        <v>15</v>
      </c>
      <c r="AN266" s="316">
        <v>131</v>
      </c>
      <c r="AO266" s="316" t="str">
        <v>Yes</v>
      </c>
      <c r="AP266" s="53" t="str">
        <v>S. Boeser</v>
      </c>
      <c r="AQ266" s="53">
        <v>44482</v>
      </c>
      <c r="AR266" s="53" t="str">
        <v>D. Tosi</v>
      </c>
      <c r="AS266" s="53">
        <v>44482</v>
      </c>
      <c r="AT266" s="53" t="str">
        <v>6 Special Devices from Germany 6 (WOM + 0 AH) including 0 spare for each. Assume 170 lbs crate.</v>
      </c>
    </row>
    <row r="267" spans="1:46" s="8" customFormat="1" ht="51" x14ac:dyDescent="0.2">
      <c r="A267" s="275">
        <v>1.5</v>
      </c>
      <c r="B267" s="276" t="str">
        <v>Installation</v>
      </c>
      <c r="C267" s="277" t="str">
        <v>Calibration Devices 89-93 (Europe)</v>
      </c>
      <c r="D267" s="278" t="str">
        <v>Calibration for 5 strings from DESY/Germany/Sweden (17+2 POCAMs, 7+ 1 Acoustic sensors,  3+ 1 Swedish Cameras) including spares - Do Not Deep Freeze</v>
      </c>
      <c r="E267" s="4">
        <v>62</v>
      </c>
      <c r="F267" s="4">
        <v>48</v>
      </c>
      <c r="G267" s="4">
        <v>44</v>
      </c>
      <c r="H267" s="4">
        <v>1</v>
      </c>
      <c r="I267" s="539">
        <v>76</v>
      </c>
      <c r="J267" s="4">
        <v>76</v>
      </c>
      <c r="K267" s="4">
        <v>1694</v>
      </c>
      <c r="L267" s="4">
        <v>1694</v>
      </c>
      <c r="M267" s="4" t="str">
        <v>preliminary</v>
      </c>
      <c r="N267" s="4" t="str">
        <v>DNDF [-40C]</v>
      </c>
      <c r="O267" s="756" t="str">
        <v>TUM/Aachen/Sweden</v>
      </c>
      <c r="P267" s="758">
        <v>1157</v>
      </c>
      <c r="Q267" s="878">
        <v>44713</v>
      </c>
      <c r="R267" s="757">
        <v>45870</v>
      </c>
      <c r="S267" s="757" t="str">
        <v>DESY - CHC</v>
      </c>
      <c r="T267" s="757" t="str">
        <v>ComSur</v>
      </c>
      <c r="U267" s="742" t="str">
        <v>DESY-CHC</v>
      </c>
      <c r="V267" s="742" t="str">
        <v>FY26 inter</v>
      </c>
      <c r="W267" s="742" t="str">
        <v>FY26 ComSur</v>
      </c>
      <c r="X267" s="742" t="str">
        <v>USAP Air</v>
      </c>
      <c r="Y267" s="774" t="str">
        <v>-</v>
      </c>
      <c r="Z267" s="774" t="str">
        <v>-</v>
      </c>
      <c r="AA267" s="774" t="str">
        <v>-</v>
      </c>
      <c r="AB267" s="774" t="str">
        <v>-</v>
      </c>
      <c r="AC267" s="774">
        <v>0.25</v>
      </c>
      <c r="AD267" s="702">
        <v>45962</v>
      </c>
      <c r="AE267" s="363" t="str">
        <v>FY26 intra</v>
      </c>
      <c r="AF267" s="363" t="str">
        <v>FY26 LC-130</v>
      </c>
      <c r="AG267" s="316" t="str">
        <v>-</v>
      </c>
      <c r="AH267" s="316" t="str">
        <v>-</v>
      </c>
      <c r="AI267" s="316" t="str">
        <v>-</v>
      </c>
      <c r="AJ267" s="316">
        <v>0.25</v>
      </c>
      <c r="AK267" s="53">
        <v>45986</v>
      </c>
      <c r="AL267" s="53">
        <v>46001</v>
      </c>
      <c r="AM267" s="316">
        <v>15</v>
      </c>
      <c r="AN267" s="316">
        <v>131</v>
      </c>
      <c r="AO267" s="316" t="str">
        <v>Yes</v>
      </c>
      <c r="AP267" s="53" t="str">
        <v>D. Williams</v>
      </c>
      <c r="AQ267" s="53">
        <v>44482</v>
      </c>
      <c r="AR267" s="53" t="str">
        <v>D. Tosi</v>
      </c>
      <c r="AS267" s="53">
        <v>44482</v>
      </c>
      <c r="AT267" s="53" t="str">
        <v>Calibration devices for strings 89-93 = 3+1 Sweden Camera,7+1 + Acoustic Module,17 +1 POCAM, including spares, 200 lbs crate</v>
      </c>
    </row>
    <row r="268" spans="1:46" s="8" customFormat="1" ht="34" x14ac:dyDescent="0.2">
      <c r="A268" s="9">
        <v>1.3</v>
      </c>
      <c r="B268" s="38" t="str">
        <v>Installation</v>
      </c>
      <c r="C268" s="11" t="str">
        <v>String Sensors 89-93 (D-Eggs-8x)</v>
      </c>
      <c r="D268" s="3" t="str">
        <v>Sensors (D-Eggs) pallets with 8 sensors - Do Not Deep Freeze</v>
      </c>
      <c r="E268" s="4">
        <v>41</v>
      </c>
      <c r="F268" s="4">
        <v>41</v>
      </c>
      <c r="G268" s="4">
        <v>69</v>
      </c>
      <c r="H268" s="4">
        <v>10</v>
      </c>
      <c r="I268" s="539">
        <v>68</v>
      </c>
      <c r="J268" s="4">
        <v>680</v>
      </c>
      <c r="K268" s="4">
        <v>750</v>
      </c>
      <c r="L268" s="4">
        <v>7500</v>
      </c>
      <c r="M268" s="4" t="str">
        <v>actual</v>
      </c>
      <c r="N268" s="4" t="str">
        <v>DNDF [-40C]</v>
      </c>
      <c r="O268" s="756" t="str">
        <v>Chiba</v>
      </c>
      <c r="P268" s="758">
        <v>812</v>
      </c>
      <c r="Q268" s="878">
        <v>45058</v>
      </c>
      <c r="R268" s="757">
        <v>45870</v>
      </c>
      <c r="S268" s="757" t="str">
        <v>ChibaU - CHC</v>
      </c>
      <c r="T268" s="757" t="str">
        <v>Cargo shipment by CHU</v>
      </c>
      <c r="U268" s="742" t="str">
        <v>ChibaU - CHC</v>
      </c>
      <c r="V268" s="742" t="str">
        <v>FY26 inter</v>
      </c>
      <c r="W268" s="742" t="str">
        <v>FY26 ComSur</v>
      </c>
      <c r="X268" s="742" t="str">
        <v>USAP Air</v>
      </c>
      <c r="Y268" s="774" t="str">
        <v>-</v>
      </c>
      <c r="Z268" s="774" t="str">
        <v>-</v>
      </c>
      <c r="AA268" s="774" t="str">
        <v>-</v>
      </c>
      <c r="AB268" s="774" t="str">
        <v>-</v>
      </c>
      <c r="AC268" s="774">
        <v>2.5</v>
      </c>
      <c r="AD268" s="702">
        <v>45962</v>
      </c>
      <c r="AE268" s="363" t="str">
        <v>FY26 intra</v>
      </c>
      <c r="AF268" s="363" t="str">
        <v>FY26 LC-130</v>
      </c>
      <c r="AG268" s="316" t="str">
        <v>-</v>
      </c>
      <c r="AH268" s="316" t="str">
        <v>-</v>
      </c>
      <c r="AI268" s="316" t="str">
        <v>-</v>
      </c>
      <c r="AJ268" s="316">
        <v>2.5</v>
      </c>
      <c r="AK268" s="53">
        <v>45986</v>
      </c>
      <c r="AL268" s="53">
        <v>46001</v>
      </c>
      <c r="AM268" s="316">
        <v>15</v>
      </c>
      <c r="AN268" s="316">
        <v>131</v>
      </c>
      <c r="AO268" s="316" t="str">
        <v>Yes</v>
      </c>
      <c r="AP268" s="53" t="str">
        <v>S. Yoshida</v>
      </c>
      <c r="AQ268" s="53">
        <v>44461</v>
      </c>
      <c r="AR268" s="53" t="str">
        <v>D. Tosi</v>
      </c>
      <c r="AS268" s="53">
        <v>44662</v>
      </c>
      <c r="AT268" s="53" t="str">
        <v xml:space="preserve">2x12-DEgg pallets combined with 2x8-DEgg pallets to form one 463L pallet </v>
      </c>
    </row>
    <row r="269" spans="1:46" s="8" customFormat="1" ht="34" x14ac:dyDescent="0.2">
      <c r="A269" s="9">
        <v>1.3</v>
      </c>
      <c r="B269" s="38" t="str">
        <v>Installation</v>
      </c>
      <c r="C269" s="11" t="str">
        <v>String Sensors 89-93 (D-Eggs-12x)</v>
      </c>
      <c r="D269" s="3" t="str">
        <v>Sensors (D-Eggs) pallets with 12 sensors - Do Not Deep Freeze</v>
      </c>
      <c r="E269" s="4">
        <v>60</v>
      </c>
      <c r="F269" s="4">
        <v>41</v>
      </c>
      <c r="G269" s="4">
        <v>69</v>
      </c>
      <c r="H269" s="4">
        <v>10</v>
      </c>
      <c r="I269" s="539">
        <v>99</v>
      </c>
      <c r="J269" s="4">
        <v>990</v>
      </c>
      <c r="K269" s="4">
        <v>1102</v>
      </c>
      <c r="L269" s="4">
        <v>11020</v>
      </c>
      <c r="M269" s="4" t="str">
        <v>actual</v>
      </c>
      <c r="N269" s="4" t="str">
        <v>DNDF [-40C]</v>
      </c>
      <c r="O269" s="756" t="str">
        <v>Chiba</v>
      </c>
      <c r="P269" s="758">
        <v>812</v>
      </c>
      <c r="Q269" s="878">
        <v>45058</v>
      </c>
      <c r="R269" s="757">
        <v>45870</v>
      </c>
      <c r="S269" s="757" t="str">
        <v>ChibaU - CHC</v>
      </c>
      <c r="T269" s="757" t="str">
        <v>Cargo shipment by CHU</v>
      </c>
      <c r="U269" s="742" t="str">
        <v>ChibaU - CHC</v>
      </c>
      <c r="V269" s="742" t="str">
        <v>FY26 inter</v>
      </c>
      <c r="W269" s="742" t="str">
        <v>FY26 ComSur</v>
      </c>
      <c r="X269" s="742" t="str">
        <v>USAP Air</v>
      </c>
      <c r="Y269" s="774" t="str">
        <v>-</v>
      </c>
      <c r="Z269" s="774" t="str">
        <v>-</v>
      </c>
      <c r="AA269" s="774" t="str">
        <v>-</v>
      </c>
      <c r="AB269" s="774" t="str">
        <v>-</v>
      </c>
      <c r="AC269" s="774">
        <v>2.5</v>
      </c>
      <c r="AD269" s="702">
        <v>45962</v>
      </c>
      <c r="AE269" s="363" t="str">
        <v>FY26 intra</v>
      </c>
      <c r="AF269" s="363" t="str">
        <v>FY26 LC-130</v>
      </c>
      <c r="AG269" s="316" t="str">
        <v>-</v>
      </c>
      <c r="AH269" s="316" t="str">
        <v>-</v>
      </c>
      <c r="AI269" s="316" t="str">
        <v>-</v>
      </c>
      <c r="AJ269" s="316">
        <v>2.5</v>
      </c>
      <c r="AK269" s="53">
        <v>45986</v>
      </c>
      <c r="AL269" s="53">
        <v>46001</v>
      </c>
      <c r="AM269" s="316">
        <v>15</v>
      </c>
      <c r="AN269" s="316">
        <v>131</v>
      </c>
      <c r="AO269" s="316" t="str">
        <v>Yes</v>
      </c>
      <c r="AP269" s="53" t="str">
        <v>S. Yoshida</v>
      </c>
      <c r="AQ269" s="53">
        <v>44461</v>
      </c>
      <c r="AR269" s="53" t="str">
        <v>D. Tosi</v>
      </c>
      <c r="AS269" s="53">
        <v>44662</v>
      </c>
      <c r="AT269" s="53" t="str">
        <v xml:space="preserve">2x12-DEgg pallets combined with 2x8-DEgg pallets to form one 463L pallet </v>
      </c>
    </row>
    <row r="270" spans="1:46" s="8" customFormat="1" ht="17" x14ac:dyDescent="0.2">
      <c r="A270" s="9">
        <v>1.2</v>
      </c>
      <c r="B270" s="38" t="str">
        <v>Fuel</v>
      </c>
      <c r="C270" s="11" t="str">
        <v>Field Season 3 Fuel</v>
      </c>
      <c r="D270" s="3" t="str">
        <v>Fuel to support FY25 field season - Base fuel &amp; deep drilling</v>
      </c>
      <c r="E270" s="4">
        <v>0</v>
      </c>
      <c r="F270" s="4">
        <v>0</v>
      </c>
      <c r="G270" s="4">
        <v>0</v>
      </c>
      <c r="H270" s="4">
        <v>62694</v>
      </c>
      <c r="I270" s="539">
        <v>0</v>
      </c>
      <c r="J270" s="4">
        <v>8380.9699999999993</v>
      </c>
      <c r="K270" s="4">
        <v>6.8</v>
      </c>
      <c r="L270" s="4">
        <v>426319.2</v>
      </c>
      <c r="M270" s="4" t="str">
        <v>preliminary</v>
      </c>
      <c r="N270" s="4" t="str">
        <v>-</v>
      </c>
      <c r="O270" s="756" t="str">
        <v>-</v>
      </c>
      <c r="P270" s="758" t="str">
        <v>-</v>
      </c>
      <c r="Q270" s="878" t="str">
        <v>-</v>
      </c>
      <c r="R270" s="757" t="str">
        <v>-</v>
      </c>
      <c r="S270" s="757" t="str">
        <v>-</v>
      </c>
      <c r="T270" s="757" t="str">
        <v>-</v>
      </c>
      <c r="U270" s="742" t="str">
        <v>-</v>
      </c>
      <c r="V270" s="742" t="str">
        <v>FY26 inter</v>
      </c>
      <c r="W270" s="742" t="str">
        <v>-</v>
      </c>
      <c r="X270" s="742" t="str">
        <v>-</v>
      </c>
      <c r="Y270" s="774" t="str">
        <v>-</v>
      </c>
      <c r="Z270" s="774" t="str">
        <v>-</v>
      </c>
      <c r="AA270" s="774" t="str">
        <v>-</v>
      </c>
      <c r="AB270" s="774" t="str">
        <v>-</v>
      </c>
      <c r="AC270" s="774">
        <v>0</v>
      </c>
      <c r="AD270" s="702">
        <v>45962</v>
      </c>
      <c r="AE270" s="363" t="str">
        <v>FY26 intra</v>
      </c>
      <c r="AF270" s="363" t="str">
        <v>FY26 LC-Tanker</v>
      </c>
      <c r="AG270" s="316" t="str">
        <v>-</v>
      </c>
      <c r="AH270" s="316" t="str">
        <v>-</v>
      </c>
      <c r="AI270" s="316" t="str">
        <v>-</v>
      </c>
      <c r="AJ270" s="316">
        <v>0</v>
      </c>
      <c r="AK270" s="53">
        <v>45992</v>
      </c>
      <c r="AL270" s="53">
        <v>45992</v>
      </c>
      <c r="AM270" s="316">
        <v>0</v>
      </c>
      <c r="AN270" s="316" t="str">
        <v>-</v>
      </c>
      <c r="AO270" s="316" t="str">
        <v>Yes</v>
      </c>
      <c r="AP270" s="53" t="str">
        <v>T. Benson</v>
      </c>
      <c r="AQ270" s="53">
        <v>44483</v>
      </c>
      <c r="AR270" s="53" t="str">
        <v>I. McEwen</v>
      </c>
      <c r="AS270" s="53">
        <v>44483</v>
      </c>
      <c r="AT270" s="53" t="str">
        <v>-</v>
      </c>
    </row>
    <row r="271" spans="1:46" s="8" customFormat="1" ht="17" x14ac:dyDescent="0.2">
      <c r="A271" s="275">
        <v>1.2</v>
      </c>
      <c r="B271" s="276" t="str">
        <v>Fuel</v>
      </c>
      <c r="C271" s="277" t="str">
        <v>Field Season 3 Fuel Contingency</v>
      </c>
      <c r="D271" s="278" t="str">
        <v>Fuel to support FY25 field season - Contingency</v>
      </c>
      <c r="E271" s="4">
        <v>0</v>
      </c>
      <c r="F271" s="4">
        <v>0</v>
      </c>
      <c r="G271" s="4">
        <v>0</v>
      </c>
      <c r="H271" s="4">
        <v>8473</v>
      </c>
      <c r="I271" s="539">
        <v>0</v>
      </c>
      <c r="J271" s="4">
        <v>1132.68</v>
      </c>
      <c r="K271" s="4">
        <v>6.8</v>
      </c>
      <c r="L271" s="4">
        <v>57616.4</v>
      </c>
      <c r="M271" s="4" t="str">
        <v>preliminary</v>
      </c>
      <c r="N271" s="4" t="str">
        <v>-</v>
      </c>
      <c r="O271" s="756" t="str">
        <v>-</v>
      </c>
      <c r="P271" s="758" t="str">
        <v>-</v>
      </c>
      <c r="Q271" s="878" t="str">
        <v>-</v>
      </c>
      <c r="R271" s="757" t="str">
        <v>-</v>
      </c>
      <c r="S271" s="757" t="str">
        <v>-</v>
      </c>
      <c r="T271" s="757" t="str">
        <v>-</v>
      </c>
      <c r="U271" s="742" t="str">
        <v>-</v>
      </c>
      <c r="V271" s="742" t="str">
        <v>FY26 inter</v>
      </c>
      <c r="W271" s="742" t="str">
        <v>-</v>
      </c>
      <c r="X271" s="742" t="str">
        <v>-</v>
      </c>
      <c r="Y271" s="774" t="str">
        <v>-</v>
      </c>
      <c r="Z271" s="774" t="str">
        <v>-</v>
      </c>
      <c r="AA271" s="774" t="str">
        <v>-</v>
      </c>
      <c r="AB271" s="774" t="str">
        <v>-</v>
      </c>
      <c r="AC271" s="774">
        <v>0</v>
      </c>
      <c r="AD271" s="702">
        <v>45962</v>
      </c>
      <c r="AE271" s="363" t="str">
        <v>FY26 intra</v>
      </c>
      <c r="AF271" s="363" t="str">
        <v>FY26 LC-Tanker</v>
      </c>
      <c r="AG271" s="316" t="str">
        <v>-</v>
      </c>
      <c r="AH271" s="316" t="str">
        <v>-</v>
      </c>
      <c r="AI271" s="316" t="str">
        <v>-</v>
      </c>
      <c r="AJ271" s="316">
        <v>0</v>
      </c>
      <c r="AK271" s="53">
        <v>45992</v>
      </c>
      <c r="AL271" s="53">
        <v>45992</v>
      </c>
      <c r="AM271" s="316">
        <v>0</v>
      </c>
      <c r="AN271" s="316" t="str">
        <v>-</v>
      </c>
      <c r="AO271" s="316" t="str">
        <v>Yes</v>
      </c>
      <c r="AP271" s="53" t="str">
        <v>T. Benson</v>
      </c>
      <c r="AQ271" s="53">
        <v>44483</v>
      </c>
      <c r="AR271" s="53" t="str">
        <v>I. McEwen</v>
      </c>
      <c r="AS271" s="53">
        <v>44483</v>
      </c>
      <c r="AT271" s="53" t="str">
        <v>-</v>
      </c>
    </row>
    <row r="272" spans="1:46" s="8" customFormat="1" x14ac:dyDescent="0.2">
      <c r="A272" s="9"/>
      <c r="B272" s="38"/>
      <c r="C272" s="11"/>
      <c r="D272" s="3"/>
      <c r="E272" s="4"/>
      <c r="F272" s="4"/>
      <c r="G272" s="4"/>
      <c r="H272" s="4"/>
      <c r="I272" s="539"/>
      <c r="J272" s="4"/>
      <c r="K272" s="4"/>
      <c r="L272" s="4"/>
      <c r="M272" s="4"/>
      <c r="N272" s="4"/>
      <c r="O272" s="756"/>
      <c r="P272" s="758"/>
      <c r="Q272" s="878"/>
      <c r="R272" s="757"/>
      <c r="S272" s="757"/>
      <c r="T272" s="757"/>
      <c r="U272" s="742"/>
      <c r="V272" s="742"/>
      <c r="W272" s="742"/>
      <c r="X272" s="742"/>
      <c r="Y272" s="774"/>
      <c r="Z272" s="774"/>
      <c r="AA272" s="774"/>
      <c r="AB272" s="774"/>
      <c r="AC272" s="774"/>
      <c r="AD272" s="702"/>
      <c r="AE272" s="363"/>
      <c r="AF272" s="363"/>
      <c r="AG272" s="316"/>
      <c r="AH272" s="316"/>
      <c r="AI272" s="316"/>
      <c r="AJ272" s="316"/>
      <c r="AK272" s="53"/>
      <c r="AL272" s="53"/>
      <c r="AM272" s="316"/>
      <c r="AN272" s="316"/>
      <c r="AO272" s="316"/>
      <c r="AP272" s="53"/>
      <c r="AQ272" s="53"/>
      <c r="AR272" s="53"/>
      <c r="AS272" s="53"/>
      <c r="AT272" s="53"/>
    </row>
    <row r="273" spans="1:46" s="8" customFormat="1" x14ac:dyDescent="0.2">
      <c r="A273" s="9"/>
      <c r="B273" s="38"/>
      <c r="C273" s="11"/>
      <c r="D273" s="3"/>
      <c r="E273" s="4"/>
      <c r="F273" s="4"/>
      <c r="G273" s="4"/>
      <c r="H273" s="4"/>
      <c r="I273" s="539"/>
      <c r="J273" s="4"/>
      <c r="K273" s="4"/>
      <c r="L273" s="4"/>
      <c r="M273" s="4"/>
      <c r="N273" s="4"/>
      <c r="O273" s="756"/>
      <c r="P273" s="758"/>
      <c r="Q273" s="878"/>
      <c r="R273" s="757"/>
      <c r="S273" s="757"/>
      <c r="T273" s="757"/>
      <c r="U273" s="742"/>
      <c r="V273" s="742"/>
      <c r="W273" s="742"/>
      <c r="X273" s="742"/>
      <c r="Y273" s="774"/>
      <c r="Z273" s="774"/>
      <c r="AA273" s="774"/>
      <c r="AB273" s="774"/>
      <c r="AC273" s="774"/>
      <c r="AD273" s="702"/>
      <c r="AE273" s="363"/>
      <c r="AF273" s="363"/>
      <c r="AG273" s="316"/>
      <c r="AH273" s="316"/>
      <c r="AI273" s="316"/>
      <c r="AJ273" s="316"/>
      <c r="AK273" s="53"/>
      <c r="AL273" s="53"/>
      <c r="AM273" s="316"/>
      <c r="AN273" s="316"/>
      <c r="AO273" s="316"/>
      <c r="AP273" s="53"/>
      <c r="AQ273" s="53"/>
      <c r="AR273" s="53"/>
      <c r="AS273" s="53"/>
      <c r="AT273" s="53"/>
    </row>
    <row r="274" spans="1:46" s="8" customFormat="1" x14ac:dyDescent="0.2">
      <c r="A274" s="9"/>
      <c r="B274" s="38"/>
      <c r="C274" s="11"/>
      <c r="D274" s="3"/>
      <c r="E274" s="4"/>
      <c r="F274" s="4"/>
      <c r="G274" s="4"/>
      <c r="H274" s="4"/>
      <c r="I274" s="539"/>
      <c r="J274" s="4"/>
      <c r="K274" s="4"/>
      <c r="L274" s="4"/>
      <c r="M274" s="4"/>
      <c r="N274" s="4"/>
      <c r="O274" s="756"/>
      <c r="P274" s="758"/>
      <c r="Q274" s="878"/>
      <c r="R274" s="757"/>
      <c r="S274" s="757"/>
      <c r="T274" s="757"/>
      <c r="U274" s="742"/>
      <c r="V274" s="742"/>
      <c r="W274" s="742"/>
      <c r="X274" s="742"/>
      <c r="Y274" s="774"/>
      <c r="Z274" s="774"/>
      <c r="AA274" s="774"/>
      <c r="AB274" s="774"/>
      <c r="AC274" s="774"/>
      <c r="AD274" s="702"/>
      <c r="AE274" s="363"/>
      <c r="AF274" s="363"/>
      <c r="AG274" s="316"/>
      <c r="AH274" s="316"/>
      <c r="AI274" s="316"/>
      <c r="AJ274" s="316"/>
      <c r="AK274" s="53"/>
      <c r="AL274" s="53"/>
      <c r="AM274" s="316"/>
      <c r="AN274" s="316"/>
      <c r="AO274" s="316"/>
      <c r="AP274" s="53"/>
      <c r="AQ274" s="53"/>
      <c r="AR274" s="53"/>
      <c r="AS274" s="53"/>
      <c r="AT274" s="53"/>
    </row>
    <row r="275" spans="1:46" s="8" customFormat="1" ht="17" thickBot="1" x14ac:dyDescent="0.25">
      <c r="A275" s="275"/>
      <c r="B275" s="276"/>
      <c r="C275" s="277"/>
      <c r="D275" s="278"/>
      <c r="E275" s="4"/>
      <c r="F275" s="4"/>
      <c r="G275" s="4"/>
      <c r="H275" s="4"/>
      <c r="I275" s="539"/>
      <c r="J275" s="4"/>
      <c r="K275" s="4"/>
      <c r="L275" s="4"/>
      <c r="M275" s="4"/>
      <c r="N275" s="4"/>
      <c r="O275" s="756"/>
      <c r="P275" s="758"/>
      <c r="Q275" s="237"/>
      <c r="R275" s="757"/>
      <c r="S275" s="757"/>
      <c r="T275" s="757"/>
      <c r="U275" s="742"/>
      <c r="V275" s="742"/>
      <c r="W275" s="742"/>
      <c r="X275" s="742"/>
      <c r="Y275" s="774"/>
      <c r="Z275" s="774"/>
      <c r="AA275" s="774"/>
      <c r="AB275" s="774"/>
      <c r="AC275" s="774"/>
      <c r="AD275" s="702"/>
      <c r="AE275" s="363"/>
      <c r="AF275" s="363"/>
      <c r="AG275" s="316"/>
      <c r="AH275" s="316"/>
      <c r="AI275" s="316"/>
      <c r="AJ275" s="316"/>
      <c r="AK275" s="53"/>
      <c r="AL275" s="53"/>
      <c r="AM275" s="316"/>
      <c r="AN275" s="316"/>
      <c r="AO275" s="316"/>
      <c r="AP275" s="53"/>
      <c r="AQ275" s="53"/>
      <c r="AR275" s="53"/>
      <c r="AS275" s="53"/>
      <c r="AT275" s="53"/>
    </row>
    <row r="276" spans="1:46" ht="17" thickBot="1" x14ac:dyDescent="0.25">
      <c r="A276" s="796"/>
      <c r="B276" s="796"/>
      <c r="C276" s="802"/>
      <c r="D276" s="802"/>
      <c r="E276" s="796"/>
      <c r="F276" s="796"/>
      <c r="G276" s="796"/>
      <c r="H276" s="796"/>
      <c r="I276" s="800"/>
      <c r="J276" s="319">
        <f>SUM(J248:J275)</f>
        <v>18885.650000000001</v>
      </c>
      <c r="K276" s="796"/>
      <c r="L276" s="319">
        <f>SUM(L248:L275)</f>
        <v>661846.6</v>
      </c>
      <c r="M276" s="796"/>
      <c r="N276" s="796"/>
      <c r="O276" s="796"/>
      <c r="P276" s="800"/>
      <c r="Q276" s="798"/>
      <c r="R276" s="798"/>
      <c r="S276" s="798"/>
      <c r="T276" s="796"/>
      <c r="U276" s="796"/>
      <c r="V276" s="796"/>
      <c r="W276" s="796"/>
      <c r="X276" s="796"/>
      <c r="Y276" s="786"/>
      <c r="Z276" s="786"/>
      <c r="AA276" s="786"/>
      <c r="AB276" s="786"/>
      <c r="AC276" s="786"/>
      <c r="AD276" s="798"/>
      <c r="AE276" s="786"/>
      <c r="AF276" s="319">
        <f>SUM(AG276:AI276)</f>
        <v>2.5</v>
      </c>
      <c r="AG276" s="319">
        <f>SUM(AG248:AG275)</f>
        <v>2.5</v>
      </c>
      <c r="AH276" s="319">
        <f t="shared" ref="AH276:AJ276" si="6">SUM(AH248:AH275)</f>
        <v>0</v>
      </c>
      <c r="AI276" s="319">
        <f t="shared" si="6"/>
        <v>0</v>
      </c>
      <c r="AJ276" s="803">
        <f t="shared" si="6"/>
        <v>17.5625</v>
      </c>
      <c r="AK276" s="786"/>
      <c r="AL276" s="786"/>
      <c r="AM276" s="786"/>
      <c r="AN276" s="786"/>
      <c r="AO276" s="786"/>
      <c r="AP276" s="786"/>
      <c r="AQ276" s="786"/>
      <c r="AR276" s="799"/>
      <c r="AS276" s="796"/>
      <c r="AT276" s="796"/>
    </row>
    <row r="277" spans="1:46" x14ac:dyDescent="0.2">
      <c r="A277" s="796"/>
      <c r="B277" s="796"/>
      <c r="C277" s="802"/>
      <c r="D277" s="802"/>
      <c r="E277" s="796"/>
      <c r="F277" s="796"/>
      <c r="G277" s="796"/>
      <c r="H277" s="796"/>
      <c r="I277" s="800"/>
      <c r="J277" s="54" t="s">
        <v>478</v>
      </c>
      <c r="K277" s="8"/>
      <c r="L277" s="8" t="s">
        <v>479</v>
      </c>
      <c r="M277" s="796"/>
      <c r="N277" s="796"/>
      <c r="O277" s="796"/>
      <c r="P277" s="800"/>
      <c r="Q277" s="798"/>
      <c r="R277" s="798"/>
      <c r="S277" s="798"/>
      <c r="T277" s="796"/>
      <c r="U277" s="796"/>
      <c r="V277" s="796"/>
      <c r="W277" s="796"/>
      <c r="X277" s="796"/>
      <c r="Y277" s="786"/>
      <c r="Z277" s="786"/>
      <c r="AA277" s="786"/>
      <c r="AB277" s="786"/>
      <c r="AC277" s="786"/>
      <c r="AD277" s="798"/>
      <c r="AE277" s="786"/>
      <c r="AF277" s="59" t="s">
        <v>480</v>
      </c>
      <c r="AG277" s="54" t="s">
        <v>481</v>
      </c>
      <c r="AH277" s="8" t="s">
        <v>482</v>
      </c>
      <c r="AI277" s="8" t="s">
        <v>483</v>
      </c>
      <c r="AJ277" s="786" t="s">
        <v>484</v>
      </c>
      <c r="AK277" s="54"/>
      <c r="AL277" s="54"/>
      <c r="AM277" s="8"/>
      <c r="AN277" s="8"/>
      <c r="AO277" s="786"/>
      <c r="AP277" s="798"/>
      <c r="AQ277" s="786"/>
      <c r="AR277" s="799"/>
      <c r="AS277" s="796"/>
      <c r="AT277" s="796"/>
    </row>
    <row r="278" spans="1:46" x14ac:dyDescent="0.2">
      <c r="A278" s="796"/>
      <c r="B278" s="796"/>
      <c r="C278" s="802"/>
      <c r="D278" s="802"/>
      <c r="E278" s="796"/>
      <c r="F278" s="796"/>
      <c r="G278" s="796"/>
      <c r="H278" s="796"/>
      <c r="I278" s="800"/>
      <c r="J278" s="796"/>
      <c r="K278" s="796"/>
      <c r="L278" s="801"/>
      <c r="M278" s="796"/>
      <c r="N278" s="796"/>
      <c r="O278" s="796"/>
      <c r="P278" s="800"/>
      <c r="Q278" s="798"/>
      <c r="R278" s="798"/>
      <c r="S278" s="798"/>
      <c r="T278" s="796"/>
      <c r="U278" s="796"/>
      <c r="V278" s="796"/>
      <c r="W278" s="796"/>
      <c r="X278" s="796"/>
      <c r="Y278" s="786"/>
      <c r="Z278" s="786"/>
      <c r="AA278" s="786"/>
      <c r="AB278" s="786"/>
      <c r="AC278" s="786"/>
      <c r="AD278" s="798"/>
      <c r="AE278" s="786"/>
      <c r="AF278" s="786"/>
      <c r="AG278" s="786"/>
      <c r="AH278" s="786"/>
      <c r="AK278" s="798"/>
      <c r="AL278" s="798"/>
      <c r="AM278" s="786"/>
      <c r="AN278" s="786"/>
      <c r="AO278" s="786"/>
      <c r="AP278" s="798"/>
      <c r="AQ278" s="786"/>
      <c r="AR278" s="799"/>
      <c r="AS278" s="796"/>
      <c r="AT278" s="796"/>
    </row>
    <row r="279" spans="1:46" x14ac:dyDescent="0.2">
      <c r="A279" s="796"/>
      <c r="B279" s="796"/>
      <c r="C279"/>
      <c r="D279"/>
      <c r="E279"/>
      <c r="F279"/>
      <c r="G279"/>
      <c r="H279"/>
      <c r="I279" s="585"/>
      <c r="J279"/>
      <c r="K279"/>
      <c r="L279" s="801"/>
      <c r="M279" s="796"/>
      <c r="N279" s="796"/>
      <c r="O279" s="796"/>
      <c r="P279" s="800"/>
      <c r="Q279" s="798"/>
      <c r="R279" s="798"/>
      <c r="S279" s="798"/>
      <c r="T279" s="796"/>
      <c r="U279" s="796"/>
      <c r="V279" s="796"/>
      <c r="W279" s="796"/>
      <c r="X279" s="796"/>
      <c r="Y279" s="786"/>
      <c r="Z279" s="786"/>
      <c r="AA279" s="786"/>
      <c r="AB279" s="786"/>
      <c r="AC279" s="786"/>
      <c r="AD279" s="798"/>
      <c r="AE279" s="786"/>
      <c r="AF279" s="786"/>
      <c r="AG279" s="786"/>
      <c r="AH279" s="786"/>
      <c r="AK279" s="798"/>
      <c r="AL279" s="798"/>
      <c r="AM279" s="786"/>
      <c r="AN279" s="786"/>
      <c r="AO279" s="786"/>
      <c r="AP279" s="798"/>
      <c r="AQ279" s="786"/>
      <c r="AR279" s="799"/>
      <c r="AS279" s="796"/>
      <c r="AT279" s="796"/>
    </row>
    <row r="280" spans="1:46" x14ac:dyDescent="0.2">
      <c r="A280" s="796"/>
      <c r="B280" s="796"/>
      <c r="C280" s="659" t="s">
        <v>121</v>
      </c>
      <c r="D280" s="660"/>
      <c r="E280" s="661"/>
      <c r="F280" s="661"/>
      <c r="G280" s="661"/>
      <c r="H280" s="661"/>
      <c r="I280" s="662"/>
      <c r="J280" s="663">
        <f>J11</f>
        <v>733</v>
      </c>
      <c r="K280" s="663"/>
      <c r="L280" s="663">
        <f t="shared" ref="L280" si="7">L11</f>
        <v>12241</v>
      </c>
      <c r="M280" s="801"/>
      <c r="N280" s="796"/>
      <c r="O280" s="796"/>
      <c r="P280" s="800"/>
      <c r="Q280" s="798"/>
      <c r="R280" s="798"/>
      <c r="S280" s="798"/>
      <c r="T280" s="796"/>
      <c r="U280" s="796"/>
      <c r="V280" s="796"/>
      <c r="W280" s="796"/>
      <c r="X280" s="796"/>
      <c r="Y280" s="786"/>
      <c r="Z280" s="786"/>
      <c r="AA280" s="786"/>
      <c r="AB280" s="786"/>
      <c r="AC280" s="786"/>
      <c r="AD280" s="798"/>
      <c r="AE280" s="786"/>
      <c r="AF280" s="786"/>
      <c r="AG280" s="786"/>
      <c r="AH280" s="786"/>
      <c r="AK280" s="798"/>
      <c r="AL280" s="798"/>
      <c r="AM280" s="786"/>
      <c r="AN280" s="786"/>
      <c r="AO280" s="786"/>
      <c r="AP280" s="798"/>
      <c r="AQ280" s="786"/>
      <c r="AR280" s="799"/>
      <c r="AS280" s="796"/>
      <c r="AT280" s="796"/>
    </row>
    <row r="281" spans="1:46" x14ac:dyDescent="0.2">
      <c r="A281" s="796"/>
      <c r="B281" s="796"/>
      <c r="C281" s="664" t="s">
        <v>54</v>
      </c>
      <c r="D281" s="665"/>
      <c r="E281" s="666"/>
      <c r="F281" s="666"/>
      <c r="G281" s="666"/>
      <c r="H281" s="666"/>
      <c r="I281" s="667"/>
      <c r="J281" s="668">
        <f>J41</f>
        <v>20513</v>
      </c>
      <c r="K281" s="668"/>
      <c r="L281" s="668">
        <f t="shared" ref="L281" si="8">L41</f>
        <v>205787</v>
      </c>
      <c r="M281" s="809"/>
      <c r="N281" s="796"/>
      <c r="O281" s="796"/>
      <c r="P281" s="800"/>
      <c r="Q281" s="798"/>
      <c r="R281" s="798"/>
      <c r="S281" s="798"/>
      <c r="T281" s="796"/>
      <c r="U281" s="796"/>
      <c r="V281" s="796"/>
      <c r="W281" s="796"/>
      <c r="X281" s="796"/>
      <c r="Y281" s="786"/>
      <c r="Z281" s="786"/>
      <c r="AA281" s="786"/>
      <c r="AB281" s="786"/>
      <c r="AC281" s="786"/>
      <c r="AD281" s="798"/>
      <c r="AE281" s="786"/>
      <c r="AF281" s="786"/>
      <c r="AG281" s="786"/>
      <c r="AH281" s="786"/>
      <c r="AK281" s="798"/>
      <c r="AL281" s="798"/>
      <c r="AM281" s="786"/>
      <c r="AN281" s="786"/>
      <c r="AO281" s="786"/>
      <c r="AP281" s="798"/>
      <c r="AQ281" s="786"/>
      <c r="AR281" s="799"/>
      <c r="AS281" s="796"/>
      <c r="AT281" s="796"/>
    </row>
    <row r="282" spans="1:46" x14ac:dyDescent="0.2">
      <c r="A282" s="796"/>
      <c r="B282" s="796"/>
      <c r="C282" s="669" t="s">
        <v>490</v>
      </c>
      <c r="D282" s="670"/>
      <c r="E282" s="671"/>
      <c r="F282" s="671"/>
      <c r="G282" s="671"/>
      <c r="H282" s="671"/>
      <c r="I282" s="672"/>
      <c r="J282" s="673">
        <f>J64+J112+J170+J241</f>
        <v>31984.940000000002</v>
      </c>
      <c r="K282" s="673"/>
      <c r="L282" s="673">
        <f t="shared" ref="L282" si="9">L64+L112+L170+L241</f>
        <v>958862.79999999993</v>
      </c>
      <c r="M282" s="801"/>
      <c r="N282" s="796"/>
      <c r="O282" s="796"/>
      <c r="P282" s="800"/>
      <c r="Q282" s="798"/>
      <c r="R282" s="798"/>
      <c r="S282" s="798"/>
      <c r="T282" s="796"/>
      <c r="U282" s="796"/>
      <c r="V282" s="796"/>
      <c r="W282" s="796"/>
      <c r="X282" s="796"/>
      <c r="Y282" s="786"/>
      <c r="Z282" s="786"/>
      <c r="AA282" s="786"/>
      <c r="AB282" s="786"/>
      <c r="AC282" s="786"/>
      <c r="AD282" s="798"/>
      <c r="AE282" s="786"/>
      <c r="AF282" s="786"/>
      <c r="AG282" s="786"/>
      <c r="AH282" s="786"/>
      <c r="AK282" s="798"/>
      <c r="AL282" s="798"/>
      <c r="AM282" s="786"/>
      <c r="AN282" s="786"/>
      <c r="AO282" s="786"/>
      <c r="AP282" s="798"/>
      <c r="AQ282" s="786"/>
      <c r="AR282" s="799"/>
      <c r="AS282" s="796"/>
      <c r="AT282" s="796"/>
    </row>
    <row r="283" spans="1:46" ht="85" x14ac:dyDescent="0.2">
      <c r="A283" s="796"/>
      <c r="B283" s="796"/>
      <c r="C283" s="664" t="s">
        <v>491</v>
      </c>
      <c r="D283" s="665"/>
      <c r="E283" s="666"/>
      <c r="F283" s="666"/>
      <c r="G283" s="666"/>
      <c r="H283" s="666"/>
      <c r="I283" s="667"/>
      <c r="J283" s="668">
        <f>J94+J135+J210+J276</f>
        <v>52497.94</v>
      </c>
      <c r="K283" s="668"/>
      <c r="L283" s="668">
        <f t="shared" ref="L283" si="10">L94+L135+L210+L276</f>
        <v>1164649.8</v>
      </c>
      <c r="M283" s="801" t="s">
        <v>492</v>
      </c>
      <c r="N283" s="796" t="b">
        <f>L284='MASTER INPUT SHEET'!$D$142</f>
        <v>1</v>
      </c>
      <c r="O283" s="796"/>
      <c r="P283" s="800"/>
      <c r="Q283" s="798"/>
      <c r="R283" s="798"/>
      <c r="S283" s="798"/>
      <c r="T283" s="796"/>
      <c r="U283" s="796"/>
      <c r="V283" s="796"/>
      <c r="W283" s="796"/>
      <c r="X283" s="796"/>
      <c r="Y283" s="786"/>
      <c r="Z283" s="786"/>
      <c r="AA283" s="786"/>
      <c r="AB283" s="786"/>
      <c r="AC283" s="786"/>
      <c r="AD283" s="798"/>
      <c r="AE283" s="786"/>
      <c r="AF283" s="786"/>
      <c r="AG283" s="786"/>
      <c r="AH283" s="786"/>
      <c r="AK283" s="798"/>
      <c r="AL283" s="798"/>
      <c r="AM283" s="786"/>
      <c r="AN283" s="786"/>
      <c r="AO283" s="786"/>
      <c r="AP283" s="798"/>
      <c r="AQ283" s="786"/>
      <c r="AR283" s="799"/>
      <c r="AS283" s="796"/>
      <c r="AT283" s="796"/>
    </row>
    <row r="284" spans="1:46" ht="85" x14ac:dyDescent="0.2">
      <c r="A284" s="796"/>
      <c r="B284" s="796"/>
      <c r="C284" s="669" t="s">
        <v>493</v>
      </c>
      <c r="D284" s="670"/>
      <c r="E284" s="671"/>
      <c r="F284" s="671"/>
      <c r="G284" s="671"/>
      <c r="H284" s="671"/>
      <c r="I284" s="672"/>
      <c r="J284" s="673">
        <f>J282+J280+J281</f>
        <v>53230.94</v>
      </c>
      <c r="K284" s="673"/>
      <c r="L284" s="673">
        <f>L282+L280+L281</f>
        <v>1176890.7999999998</v>
      </c>
      <c r="M284" s="801" t="s">
        <v>494</v>
      </c>
      <c r="N284" s="796" t="b">
        <f>L285='MASTER INPUT SHEET'!$D$142</f>
        <v>1</v>
      </c>
      <c r="O284" s="796"/>
      <c r="P284" s="800"/>
      <c r="Q284" s="798"/>
      <c r="R284" s="798"/>
      <c r="S284" s="798"/>
      <c r="T284" s="796"/>
      <c r="U284" s="796"/>
      <c r="V284" s="796"/>
      <c r="W284" s="796"/>
      <c r="X284" s="796"/>
      <c r="Y284" s="786"/>
      <c r="Z284" s="786"/>
      <c r="AA284" s="786"/>
      <c r="AB284" s="786"/>
      <c r="AC284" s="786"/>
      <c r="AD284" s="798"/>
      <c r="AE284" s="786"/>
      <c r="AF284" s="786"/>
      <c r="AG284" s="786"/>
      <c r="AH284" s="786"/>
      <c r="AK284" s="798"/>
      <c r="AL284" s="798"/>
      <c r="AM284" s="786"/>
      <c r="AN284" s="786"/>
      <c r="AO284" s="786"/>
      <c r="AP284" s="798"/>
      <c r="AQ284" s="786"/>
      <c r="AR284" s="799"/>
      <c r="AS284" s="796"/>
      <c r="AT284" s="796"/>
    </row>
    <row r="285" spans="1:46" x14ac:dyDescent="0.2">
      <c r="A285" s="796"/>
      <c r="B285" s="796"/>
      <c r="C285" s="674" t="s">
        <v>495</v>
      </c>
      <c r="D285" s="675"/>
      <c r="E285" s="676"/>
      <c r="F285" s="676"/>
      <c r="G285" s="676"/>
      <c r="H285" s="676"/>
      <c r="I285" s="677"/>
      <c r="J285" s="678">
        <f>J283+J280</f>
        <v>53230.94</v>
      </c>
      <c r="K285" s="678"/>
      <c r="L285" s="678">
        <f>L283+L280</f>
        <v>1176890.8</v>
      </c>
      <c r="M285" s="801"/>
      <c r="N285" s="796"/>
      <c r="O285" s="796"/>
      <c r="P285" s="800"/>
      <c r="Q285" s="798"/>
      <c r="R285" s="798"/>
      <c r="S285" s="798"/>
      <c r="T285" s="796"/>
      <c r="U285" s="796"/>
      <c r="V285" s="796"/>
      <c r="W285" s="796"/>
      <c r="X285" s="796"/>
      <c r="Y285" s="786"/>
      <c r="Z285" s="786"/>
      <c r="AA285" s="786"/>
      <c r="AB285" s="786"/>
      <c r="AC285" s="786"/>
      <c r="AD285" s="798"/>
      <c r="AE285" s="786"/>
      <c r="AF285" s="786"/>
      <c r="AG285" s="786"/>
      <c r="AH285" s="786"/>
      <c r="AK285" s="798"/>
      <c r="AL285" s="798"/>
      <c r="AM285" s="786"/>
      <c r="AN285" s="786"/>
      <c r="AO285" s="786"/>
      <c r="AP285" s="798"/>
      <c r="AQ285" s="786"/>
      <c r="AR285" s="799"/>
      <c r="AS285" s="796"/>
      <c r="AT285" s="796"/>
    </row>
    <row r="286" spans="1:46" x14ac:dyDescent="0.2">
      <c r="A286" s="796"/>
      <c r="B286" s="796"/>
      <c r="C286" s="802"/>
      <c r="D286" s="802"/>
      <c r="E286" s="796"/>
      <c r="F286" s="796"/>
      <c r="G286" s="796"/>
      <c r="H286" s="796"/>
      <c r="I286" s="800"/>
      <c r="J286" s="796"/>
      <c r="K286" s="796"/>
      <c r="L286" s="801"/>
      <c r="M286" s="796"/>
      <c r="N286" s="796"/>
      <c r="O286" s="796"/>
      <c r="P286" s="800"/>
      <c r="Q286" s="798"/>
      <c r="R286" s="798"/>
      <c r="S286" s="798"/>
      <c r="T286" s="796"/>
      <c r="U286" s="796"/>
      <c r="V286" s="796"/>
      <c r="W286" s="796"/>
      <c r="X286" s="796"/>
      <c r="Y286" s="786"/>
      <c r="Z286" s="786"/>
      <c r="AA286" s="786"/>
      <c r="AB286" s="786"/>
      <c r="AC286" s="786"/>
      <c r="AD286" s="798"/>
      <c r="AE286" s="786"/>
      <c r="AF286" s="786"/>
      <c r="AG286" s="786"/>
      <c r="AH286" s="786"/>
      <c r="AK286" s="798"/>
      <c r="AL286" s="798"/>
      <c r="AM286" s="786"/>
      <c r="AN286" s="786"/>
      <c r="AO286" s="786"/>
      <c r="AP286" s="798"/>
      <c r="AQ286" s="786"/>
      <c r="AR286" s="799"/>
      <c r="AS286" s="796"/>
      <c r="AT286" s="796"/>
    </row>
    <row r="287" spans="1:46" x14ac:dyDescent="0.2">
      <c r="A287" s="796"/>
      <c r="B287" s="796"/>
      <c r="C287" s="802"/>
      <c r="D287" s="802"/>
      <c r="E287" s="796"/>
      <c r="F287" s="796"/>
      <c r="G287" s="796"/>
      <c r="H287" s="796"/>
      <c r="I287" s="800"/>
      <c r="J287" s="796"/>
      <c r="K287" s="796"/>
      <c r="L287" s="801"/>
      <c r="M287" s="796"/>
      <c r="N287" s="796"/>
      <c r="O287" s="796"/>
      <c r="P287" s="800"/>
      <c r="Q287" s="798"/>
      <c r="R287" s="798"/>
      <c r="S287" s="798"/>
      <c r="T287" s="796"/>
      <c r="U287" s="796"/>
      <c r="V287" s="796"/>
      <c r="W287" s="796"/>
      <c r="X287" s="796"/>
      <c r="Y287" s="786"/>
      <c r="Z287" s="786"/>
      <c r="AA287" s="786"/>
      <c r="AB287" s="786"/>
      <c r="AC287" s="786"/>
      <c r="AD287" s="798"/>
      <c r="AE287" s="786"/>
      <c r="AF287" s="786"/>
      <c r="AG287" s="786"/>
      <c r="AH287" s="786"/>
      <c r="AK287" s="798"/>
      <c r="AL287" s="798"/>
      <c r="AM287" s="786"/>
      <c r="AN287" s="786"/>
      <c r="AO287" s="786"/>
      <c r="AP287" s="798"/>
      <c r="AQ287" s="786"/>
      <c r="AR287" s="799"/>
      <c r="AS287" s="796"/>
      <c r="AT287" s="796"/>
    </row>
    <row r="288" spans="1:46" x14ac:dyDescent="0.2">
      <c r="A288" s="796"/>
      <c r="B288" s="796"/>
      <c r="C288" s="802"/>
      <c r="D288" s="802"/>
      <c r="E288" s="796"/>
      <c r="F288" s="796"/>
      <c r="G288" s="796"/>
      <c r="H288" s="796"/>
      <c r="I288" s="800"/>
      <c r="J288" s="796"/>
      <c r="K288" s="796"/>
      <c r="L288" s="801"/>
      <c r="M288" s="796"/>
      <c r="N288" s="796"/>
      <c r="O288" s="796"/>
      <c r="P288" s="800"/>
      <c r="Q288" s="798"/>
      <c r="R288" s="798"/>
      <c r="S288" s="798"/>
      <c r="T288" s="796"/>
      <c r="U288" s="796"/>
      <c r="V288" s="796"/>
      <c r="W288" s="796"/>
      <c r="X288" s="796"/>
      <c r="Y288" s="786"/>
      <c r="Z288" s="786"/>
      <c r="AA288" s="786"/>
      <c r="AB288" s="786"/>
      <c r="AC288" s="786"/>
      <c r="AD288" s="798"/>
      <c r="AE288" s="786"/>
      <c r="AF288" s="786"/>
      <c r="AG288" s="786"/>
      <c r="AH288" s="786"/>
      <c r="AK288" s="798"/>
      <c r="AL288" s="798"/>
      <c r="AM288" s="786"/>
      <c r="AN288" s="786"/>
      <c r="AO288" s="786"/>
      <c r="AP288" s="798"/>
      <c r="AQ288" s="786"/>
      <c r="AR288" s="799"/>
      <c r="AS288" s="796"/>
      <c r="AT288" s="796"/>
    </row>
    <row r="289" spans="1:45" x14ac:dyDescent="0.2">
      <c r="A289" s="796"/>
      <c r="B289" s="796"/>
      <c r="C289" s="802"/>
      <c r="D289" s="802"/>
      <c r="E289" s="796"/>
      <c r="F289" s="796"/>
      <c r="G289" s="796"/>
      <c r="H289" s="796"/>
      <c r="I289" s="800"/>
      <c r="J289" s="796"/>
      <c r="K289" s="796"/>
      <c r="L289" s="801"/>
      <c r="M289" s="796"/>
      <c r="N289" s="796"/>
      <c r="O289" s="796"/>
      <c r="P289" s="800"/>
      <c r="Q289" s="798"/>
      <c r="R289" s="798"/>
      <c r="S289" s="798"/>
      <c r="T289" s="796"/>
      <c r="U289" s="796"/>
      <c r="V289" s="796"/>
      <c r="W289" s="796"/>
      <c r="X289" s="796"/>
      <c r="Y289" s="786"/>
      <c r="Z289" s="786"/>
      <c r="AA289" s="786"/>
      <c r="AB289" s="786"/>
      <c r="AC289" s="786"/>
      <c r="AD289" s="798"/>
      <c r="AE289" s="786"/>
      <c r="AF289" s="786"/>
      <c r="AG289" s="786"/>
      <c r="AH289" s="786"/>
      <c r="AK289" s="798"/>
      <c r="AL289" s="798"/>
      <c r="AM289" s="786"/>
      <c r="AN289" s="786"/>
      <c r="AO289" s="786"/>
      <c r="AP289" s="798"/>
      <c r="AQ289" s="786"/>
      <c r="AR289" s="799"/>
      <c r="AS289" s="796"/>
    </row>
    <row r="290" spans="1:45" x14ac:dyDescent="0.2">
      <c r="A290" s="796"/>
      <c r="B290" s="796"/>
      <c r="C290" s="802"/>
      <c r="D290" s="802"/>
      <c r="E290" s="796"/>
      <c r="F290" s="796"/>
      <c r="G290" s="796"/>
      <c r="H290" s="796"/>
      <c r="I290" s="800"/>
      <c r="J290" s="796"/>
      <c r="K290" s="796"/>
      <c r="L290" s="801"/>
      <c r="M290" s="796"/>
      <c r="N290" s="796"/>
      <c r="O290" s="796"/>
      <c r="P290" s="800"/>
      <c r="Q290" s="798"/>
      <c r="R290" s="798"/>
      <c r="S290" s="798"/>
      <c r="T290" s="796"/>
      <c r="U290" s="796"/>
      <c r="V290" s="796"/>
      <c r="W290" s="796"/>
      <c r="X290" s="796"/>
      <c r="Y290" s="786"/>
      <c r="Z290" s="786"/>
      <c r="AA290" s="786"/>
      <c r="AB290" s="786"/>
      <c r="AC290" s="786"/>
      <c r="AD290" s="798"/>
      <c r="AE290" s="786"/>
      <c r="AF290" s="786"/>
      <c r="AG290" s="786"/>
      <c r="AH290" s="786"/>
      <c r="AK290" s="798"/>
      <c r="AL290" s="798"/>
      <c r="AM290" s="786"/>
      <c r="AN290" s="786"/>
      <c r="AO290" s="786"/>
      <c r="AP290" s="798"/>
      <c r="AQ290" s="786"/>
      <c r="AR290" s="799"/>
      <c r="AS290" s="796"/>
    </row>
    <row r="291" spans="1:45" x14ac:dyDescent="0.2">
      <c r="A291" s="796"/>
      <c r="B291" s="796"/>
      <c r="C291" s="802"/>
      <c r="D291" s="802"/>
      <c r="E291" s="796"/>
      <c r="F291" s="796"/>
      <c r="G291" s="796"/>
      <c r="H291" s="796"/>
      <c r="I291" s="800"/>
      <c r="J291" s="796"/>
      <c r="K291" s="796"/>
      <c r="L291" s="801"/>
      <c r="M291" s="796"/>
      <c r="N291" s="796"/>
      <c r="O291" s="796"/>
      <c r="P291" s="800"/>
      <c r="Q291" s="798"/>
      <c r="R291" s="798"/>
      <c r="S291" s="798"/>
      <c r="T291" s="796"/>
      <c r="U291" s="796"/>
      <c r="V291" s="796"/>
      <c r="W291" s="796"/>
      <c r="X291" s="796"/>
      <c r="Y291" s="786"/>
      <c r="Z291" s="786"/>
      <c r="AA291" s="786"/>
      <c r="AB291" s="786"/>
      <c r="AC291" s="786"/>
      <c r="AD291" s="798"/>
      <c r="AE291" s="786"/>
      <c r="AF291" s="786"/>
      <c r="AG291" s="786"/>
      <c r="AH291" s="786"/>
      <c r="AK291" s="798"/>
      <c r="AL291" s="798"/>
      <c r="AM291" s="786"/>
      <c r="AN291" s="786"/>
      <c r="AO291" s="786"/>
      <c r="AP291" s="798"/>
      <c r="AQ291" s="786"/>
      <c r="AR291" s="799"/>
      <c r="AS291" s="796"/>
    </row>
    <row r="292" spans="1:45" x14ac:dyDescent="0.2">
      <c r="A292" s="796"/>
      <c r="B292" s="796"/>
      <c r="C292" s="802"/>
      <c r="D292" s="802"/>
      <c r="E292" s="796"/>
      <c r="F292" s="796"/>
      <c r="G292" s="796"/>
      <c r="H292" s="796"/>
      <c r="I292" s="800"/>
      <c r="J292" s="796"/>
      <c r="K292" s="796"/>
      <c r="L292" s="801"/>
      <c r="M292" s="796"/>
      <c r="N292" s="796"/>
      <c r="O292" s="796"/>
      <c r="P292" s="800"/>
      <c r="Q292" s="798"/>
      <c r="R292" s="798"/>
      <c r="S292" s="798"/>
      <c r="T292" s="796"/>
      <c r="U292" s="796"/>
      <c r="V292" s="796"/>
      <c r="W292" s="796"/>
      <c r="X292" s="796"/>
      <c r="Y292" s="786"/>
      <c r="Z292" s="786"/>
      <c r="AA292" s="786"/>
      <c r="AB292" s="786"/>
      <c r="AC292" s="786"/>
      <c r="AD292" s="798"/>
      <c r="AE292" s="786"/>
      <c r="AF292" s="786"/>
      <c r="AG292" s="786"/>
      <c r="AH292" s="786"/>
      <c r="AK292" s="798"/>
      <c r="AL292" s="798"/>
      <c r="AM292" s="786"/>
      <c r="AN292" s="786"/>
      <c r="AO292" s="786"/>
      <c r="AP292" s="798"/>
      <c r="AQ292" s="786"/>
      <c r="AR292" s="799"/>
      <c r="AS292" s="796"/>
    </row>
    <row r="293" spans="1:45" x14ac:dyDescent="0.2">
      <c r="A293" s="796"/>
      <c r="B293" s="796"/>
      <c r="C293" s="802"/>
      <c r="D293" s="802"/>
      <c r="E293" s="796"/>
      <c r="F293" s="796"/>
      <c r="G293" s="796"/>
      <c r="H293" s="796"/>
      <c r="I293" s="800"/>
      <c r="J293" s="796"/>
      <c r="K293" s="796"/>
      <c r="L293" s="801"/>
      <c r="M293" s="796"/>
      <c r="N293" s="796"/>
      <c r="O293" s="796"/>
      <c r="P293" s="800"/>
      <c r="Q293" s="798"/>
      <c r="R293" s="798"/>
      <c r="S293" s="798"/>
      <c r="T293" s="796"/>
      <c r="U293" s="796"/>
      <c r="V293" s="796"/>
      <c r="W293" s="796"/>
      <c r="X293" s="796"/>
      <c r="Y293" s="786"/>
      <c r="Z293" s="786"/>
      <c r="AA293" s="786"/>
      <c r="AB293" s="786"/>
      <c r="AC293" s="786"/>
      <c r="AD293" s="798"/>
      <c r="AE293" s="786"/>
      <c r="AF293" s="786"/>
      <c r="AG293" s="786"/>
      <c r="AH293" s="786"/>
      <c r="AK293" s="798"/>
      <c r="AL293" s="798"/>
      <c r="AM293" s="786"/>
      <c r="AN293" s="786"/>
      <c r="AO293" s="786"/>
      <c r="AP293" s="798"/>
      <c r="AQ293" s="786"/>
      <c r="AR293" s="799"/>
      <c r="AS293" s="796"/>
    </row>
    <row r="294" spans="1:45" x14ac:dyDescent="0.2">
      <c r="A294" s="796"/>
      <c r="B294" s="796"/>
      <c r="C294" s="802"/>
      <c r="D294" s="802"/>
      <c r="E294" s="796"/>
      <c r="F294" s="796"/>
      <c r="G294" s="796"/>
      <c r="H294" s="796"/>
      <c r="I294" s="800"/>
      <c r="J294" s="796"/>
      <c r="K294" s="796"/>
      <c r="L294" s="801"/>
      <c r="M294" s="796"/>
      <c r="N294" s="796"/>
      <c r="O294" s="796"/>
      <c r="P294" s="800"/>
      <c r="Q294" s="798"/>
      <c r="R294" s="798"/>
      <c r="S294" s="798"/>
      <c r="T294" s="796"/>
      <c r="U294" s="796"/>
      <c r="V294" s="796"/>
      <c r="W294" s="796"/>
      <c r="X294" s="796"/>
      <c r="Y294" s="786"/>
      <c r="Z294" s="786"/>
      <c r="AA294" s="786"/>
      <c r="AB294" s="786"/>
      <c r="AC294" s="786"/>
      <c r="AD294" s="798"/>
      <c r="AE294" s="786"/>
      <c r="AF294" s="786"/>
      <c r="AG294" s="786"/>
      <c r="AH294" s="786"/>
      <c r="AK294" s="798"/>
      <c r="AL294" s="798"/>
      <c r="AM294" s="786"/>
      <c r="AN294" s="786"/>
      <c r="AO294" s="786"/>
      <c r="AP294" s="798"/>
      <c r="AQ294" s="786"/>
      <c r="AR294" s="799"/>
      <c r="AS294" s="796"/>
    </row>
    <row r="295" spans="1:45" x14ac:dyDescent="0.2">
      <c r="A295" s="796"/>
      <c r="B295" s="796"/>
      <c r="C295" s="802"/>
      <c r="D295" s="802"/>
      <c r="E295" s="796"/>
      <c r="F295" s="796"/>
      <c r="G295" s="796"/>
      <c r="H295" s="796"/>
      <c r="I295" s="800"/>
      <c r="J295" s="796"/>
      <c r="K295" s="796"/>
      <c r="L295" s="801"/>
      <c r="M295" s="796"/>
      <c r="N295" s="796"/>
      <c r="O295" s="796"/>
      <c r="P295" s="800"/>
      <c r="Q295" s="798"/>
      <c r="R295" s="798"/>
      <c r="S295" s="798"/>
      <c r="T295" s="796"/>
      <c r="U295" s="796"/>
      <c r="V295" s="796"/>
      <c r="W295" s="796"/>
      <c r="X295" s="796"/>
      <c r="Y295" s="786"/>
      <c r="Z295" s="786"/>
      <c r="AA295" s="786"/>
      <c r="AB295" s="786"/>
      <c r="AC295" s="786"/>
      <c r="AD295" s="798"/>
      <c r="AE295" s="786"/>
      <c r="AF295" s="786"/>
      <c r="AG295" s="786"/>
      <c r="AH295" s="786"/>
      <c r="AK295" s="798"/>
      <c r="AL295" s="798"/>
      <c r="AM295" s="786"/>
      <c r="AN295" s="786"/>
      <c r="AO295" s="786"/>
      <c r="AP295" s="798"/>
      <c r="AQ295" s="786"/>
      <c r="AR295" s="799"/>
      <c r="AS295" s="796"/>
    </row>
    <row r="296" spans="1:45" x14ac:dyDescent="0.2">
      <c r="A296" s="796"/>
      <c r="B296" s="796"/>
      <c r="C296" s="802"/>
      <c r="D296" s="802"/>
      <c r="E296" s="796"/>
      <c r="F296" s="796"/>
      <c r="G296" s="796"/>
      <c r="H296" s="796"/>
      <c r="I296" s="800"/>
      <c r="J296" s="796"/>
      <c r="K296" s="796"/>
      <c r="L296" s="801"/>
      <c r="M296" s="796"/>
      <c r="N296" s="796"/>
      <c r="O296" s="796"/>
      <c r="P296" s="800"/>
      <c r="Q296" s="798"/>
      <c r="R296" s="798"/>
      <c r="S296" s="798"/>
      <c r="T296" s="796"/>
      <c r="U296" s="796"/>
      <c r="V296" s="796"/>
      <c r="W296" s="796"/>
      <c r="X296" s="796"/>
      <c r="Y296" s="786"/>
      <c r="Z296" s="786"/>
      <c r="AA296" s="786"/>
      <c r="AB296" s="786"/>
      <c r="AC296" s="786"/>
      <c r="AD296" s="798"/>
      <c r="AE296" s="786"/>
      <c r="AF296" s="786"/>
      <c r="AG296" s="786"/>
      <c r="AH296" s="786"/>
      <c r="AK296" s="798"/>
      <c r="AL296" s="798"/>
      <c r="AM296" s="786"/>
      <c r="AN296" s="786"/>
      <c r="AO296" s="786"/>
      <c r="AP296" s="798"/>
      <c r="AQ296" s="786"/>
      <c r="AR296" s="799"/>
      <c r="AS296" s="796"/>
    </row>
    <row r="297" spans="1:45" x14ac:dyDescent="0.2">
      <c r="A297" s="796"/>
      <c r="B297" s="796"/>
      <c r="C297" s="802"/>
      <c r="D297" s="802"/>
      <c r="E297" s="796"/>
      <c r="F297" s="796"/>
      <c r="G297" s="796"/>
      <c r="H297" s="796"/>
      <c r="I297" s="800"/>
      <c r="J297" s="796"/>
      <c r="K297" s="796"/>
      <c r="L297" s="801"/>
      <c r="M297" s="796"/>
      <c r="N297" s="796"/>
      <c r="O297" s="796"/>
      <c r="P297" s="800"/>
      <c r="Q297" s="798"/>
      <c r="R297" s="798"/>
      <c r="S297" s="798"/>
      <c r="T297" s="796"/>
      <c r="U297" s="796"/>
      <c r="V297" s="796"/>
      <c r="W297" s="796"/>
      <c r="X297" s="796"/>
      <c r="Y297" s="786"/>
      <c r="Z297" s="786"/>
      <c r="AA297" s="786"/>
      <c r="AB297" s="786"/>
      <c r="AC297" s="786"/>
      <c r="AD297" s="798"/>
      <c r="AE297" s="786"/>
      <c r="AF297" s="786"/>
      <c r="AG297" s="786"/>
      <c r="AH297" s="786"/>
      <c r="AK297" s="798"/>
      <c r="AL297" s="798"/>
      <c r="AM297" s="786"/>
      <c r="AN297" s="786"/>
      <c r="AO297" s="786"/>
      <c r="AP297" s="798"/>
      <c r="AQ297" s="786"/>
      <c r="AR297" s="799"/>
      <c r="AS297" s="796"/>
    </row>
    <row r="298" spans="1:45" x14ac:dyDescent="0.2">
      <c r="A298" s="796"/>
      <c r="B298" s="796"/>
      <c r="C298" s="802"/>
      <c r="D298" s="802"/>
      <c r="E298" s="796"/>
      <c r="F298" s="796"/>
      <c r="G298" s="796"/>
      <c r="H298" s="796"/>
      <c r="I298" s="800"/>
      <c r="J298" s="796"/>
      <c r="K298" s="796"/>
      <c r="L298" s="801"/>
      <c r="M298" s="796"/>
      <c r="N298" s="796"/>
      <c r="O298" s="796"/>
      <c r="P298" s="800"/>
      <c r="Q298" s="798"/>
      <c r="R298" s="798"/>
      <c r="S298" s="798"/>
      <c r="T298" s="796"/>
      <c r="U298" s="796"/>
      <c r="V298" s="796"/>
      <c r="W298" s="796"/>
      <c r="X298" s="796"/>
      <c r="Y298" s="786"/>
      <c r="Z298" s="786"/>
      <c r="AA298" s="786"/>
      <c r="AB298" s="786"/>
      <c r="AC298" s="786"/>
      <c r="AD298" s="798"/>
      <c r="AE298" s="786"/>
      <c r="AF298" s="786"/>
      <c r="AG298" s="786"/>
      <c r="AH298" s="786"/>
      <c r="AK298" s="798"/>
      <c r="AL298" s="798"/>
      <c r="AM298" s="786"/>
      <c r="AN298" s="786"/>
      <c r="AO298" s="786"/>
      <c r="AP298" s="798"/>
      <c r="AQ298" s="786"/>
      <c r="AR298" s="799"/>
      <c r="AS298" s="796"/>
    </row>
    <row r="299" spans="1:45" x14ac:dyDescent="0.2">
      <c r="A299" s="796"/>
      <c r="B299" s="796"/>
      <c r="C299" s="802"/>
      <c r="D299" s="802"/>
      <c r="E299" s="796"/>
      <c r="F299" s="796"/>
      <c r="G299" s="796"/>
      <c r="H299" s="796"/>
      <c r="I299" s="800"/>
      <c r="J299" s="796"/>
      <c r="K299" s="796"/>
      <c r="L299" s="801"/>
      <c r="M299" s="796"/>
      <c r="N299" s="796"/>
      <c r="O299" s="796"/>
      <c r="P299" s="800"/>
      <c r="Q299" s="798"/>
      <c r="R299" s="798"/>
      <c r="S299" s="798"/>
      <c r="T299" s="796"/>
      <c r="U299" s="796"/>
      <c r="V299" s="796"/>
      <c r="W299" s="796"/>
      <c r="X299" s="796"/>
      <c r="Y299" s="786"/>
      <c r="Z299" s="786"/>
      <c r="AA299" s="786"/>
      <c r="AB299" s="786"/>
      <c r="AC299" s="786"/>
      <c r="AD299" s="798"/>
      <c r="AE299" s="786"/>
      <c r="AF299" s="786"/>
      <c r="AG299" s="786"/>
      <c r="AH299" s="786"/>
      <c r="AK299" s="798"/>
      <c r="AL299" s="798"/>
      <c r="AM299" s="786"/>
      <c r="AN299" s="786"/>
      <c r="AO299" s="786"/>
      <c r="AP299" s="798"/>
      <c r="AQ299" s="786"/>
      <c r="AR299" s="799"/>
      <c r="AS299" s="796"/>
    </row>
    <row r="300" spans="1:45" x14ac:dyDescent="0.2">
      <c r="A300" s="796"/>
      <c r="B300" s="796"/>
      <c r="C300" s="802"/>
      <c r="D300" s="802"/>
      <c r="E300" s="796"/>
      <c r="F300" s="796"/>
      <c r="G300" s="796"/>
      <c r="H300" s="796"/>
      <c r="I300" s="800"/>
      <c r="J300" s="796"/>
      <c r="K300" s="796"/>
      <c r="L300" s="801"/>
      <c r="M300" s="796"/>
      <c r="N300" s="796"/>
      <c r="O300" s="796"/>
      <c r="P300" s="800"/>
      <c r="Q300" s="798"/>
      <c r="R300" s="798"/>
      <c r="S300" s="798"/>
      <c r="T300" s="796"/>
      <c r="U300" s="796"/>
      <c r="V300" s="796"/>
      <c r="W300" s="796"/>
      <c r="X300" s="796"/>
      <c r="Y300" s="786"/>
      <c r="Z300" s="786"/>
      <c r="AA300" s="786"/>
      <c r="AB300" s="786"/>
      <c r="AC300" s="786"/>
      <c r="AD300" s="798"/>
      <c r="AE300" s="786"/>
      <c r="AF300" s="786"/>
      <c r="AG300" s="786"/>
      <c r="AH300" s="786"/>
      <c r="AK300" s="798"/>
      <c r="AL300" s="798"/>
      <c r="AM300" s="786"/>
      <c r="AN300" s="786"/>
      <c r="AO300" s="786"/>
      <c r="AP300" s="798"/>
      <c r="AQ300" s="786"/>
      <c r="AR300" s="799"/>
      <c r="AS300" s="796"/>
    </row>
    <row r="301" spans="1:45" x14ac:dyDescent="0.2">
      <c r="A301" s="796"/>
      <c r="B301" s="796"/>
      <c r="C301" s="802"/>
      <c r="D301" s="802"/>
      <c r="E301" s="796"/>
      <c r="F301" s="796"/>
      <c r="G301" s="796"/>
      <c r="H301" s="796"/>
      <c r="I301" s="800"/>
      <c r="J301" s="796"/>
      <c r="K301" s="796"/>
      <c r="L301" s="801"/>
      <c r="M301" s="796"/>
      <c r="N301" s="796"/>
      <c r="O301" s="796"/>
      <c r="P301" s="800"/>
      <c r="Q301" s="798"/>
      <c r="R301" s="798"/>
      <c r="S301" s="798"/>
      <c r="T301" s="796"/>
      <c r="U301" s="796"/>
      <c r="V301" s="796"/>
      <c r="W301" s="796"/>
      <c r="X301" s="796"/>
      <c r="Y301" s="786"/>
      <c r="Z301" s="786"/>
      <c r="AA301" s="786"/>
      <c r="AB301" s="786"/>
      <c r="AC301" s="786"/>
      <c r="AD301" s="798"/>
      <c r="AE301" s="786"/>
      <c r="AF301" s="786"/>
      <c r="AG301" s="786"/>
      <c r="AH301" s="786"/>
      <c r="AK301" s="798"/>
      <c r="AL301" s="798"/>
      <c r="AM301" s="786"/>
      <c r="AN301" s="786"/>
      <c r="AO301" s="786"/>
      <c r="AP301" s="798"/>
      <c r="AQ301" s="786"/>
      <c r="AR301" s="799"/>
      <c r="AS301" s="796"/>
    </row>
    <row r="302" spans="1:45" x14ac:dyDescent="0.2">
      <c r="A302" s="796"/>
      <c r="B302" s="796"/>
      <c r="C302" s="802"/>
      <c r="D302" s="802"/>
      <c r="E302" s="796"/>
      <c r="F302" s="796"/>
      <c r="G302" s="796"/>
      <c r="H302" s="796"/>
      <c r="I302" s="800"/>
      <c r="J302" s="796"/>
      <c r="K302" s="796"/>
      <c r="L302" s="801"/>
      <c r="M302" s="796"/>
      <c r="N302" s="796"/>
      <c r="O302" s="796"/>
      <c r="P302" s="800"/>
      <c r="Q302" s="798"/>
      <c r="R302" s="798"/>
      <c r="S302" s="798"/>
      <c r="T302" s="796"/>
      <c r="U302" s="796"/>
      <c r="V302" s="796"/>
      <c r="W302" s="796"/>
      <c r="X302" s="796"/>
      <c r="Y302" s="786"/>
      <c r="Z302" s="786"/>
      <c r="AA302" s="786"/>
      <c r="AB302" s="786"/>
      <c r="AC302" s="786"/>
      <c r="AD302" s="798"/>
      <c r="AE302" s="786"/>
      <c r="AF302" s="786"/>
      <c r="AG302" s="786"/>
      <c r="AH302" s="786"/>
      <c r="AK302" s="798"/>
      <c r="AL302" s="798"/>
      <c r="AM302" s="786"/>
      <c r="AN302" s="786"/>
      <c r="AO302" s="786"/>
      <c r="AP302" s="798"/>
      <c r="AQ302" s="786"/>
      <c r="AR302" s="799"/>
      <c r="AS302" s="796"/>
    </row>
    <row r="303" spans="1:45" x14ac:dyDescent="0.2">
      <c r="A303" s="796"/>
      <c r="B303" s="796"/>
      <c r="C303" s="802"/>
      <c r="D303" s="802"/>
      <c r="E303" s="796"/>
      <c r="F303" s="796"/>
      <c r="G303" s="796"/>
      <c r="H303" s="796"/>
      <c r="I303" s="800"/>
      <c r="J303" s="796"/>
      <c r="K303" s="796"/>
      <c r="L303" s="801"/>
      <c r="M303" s="796"/>
      <c r="N303" s="796"/>
      <c r="O303" s="796"/>
      <c r="P303" s="800"/>
      <c r="Q303" s="798"/>
      <c r="R303" s="798"/>
      <c r="S303" s="798"/>
      <c r="T303" s="796"/>
      <c r="U303" s="796"/>
      <c r="V303" s="796"/>
      <c r="W303" s="796"/>
      <c r="X303" s="796"/>
      <c r="Y303" s="786"/>
      <c r="Z303" s="786"/>
      <c r="AA303" s="786"/>
      <c r="AB303" s="786"/>
      <c r="AC303" s="786"/>
      <c r="AD303" s="798"/>
      <c r="AE303" s="786"/>
      <c r="AF303" s="786"/>
      <c r="AG303" s="786"/>
      <c r="AH303" s="786"/>
      <c r="AK303" s="798"/>
      <c r="AL303" s="798"/>
      <c r="AM303" s="786"/>
      <c r="AN303" s="786"/>
      <c r="AO303" s="786"/>
      <c r="AP303" s="798"/>
      <c r="AQ303" s="786"/>
      <c r="AR303" s="799"/>
      <c r="AS303" s="796"/>
    </row>
    <row r="304" spans="1:45" x14ac:dyDescent="0.2">
      <c r="A304" s="796"/>
      <c r="B304" s="796"/>
      <c r="C304" s="802"/>
      <c r="D304" s="802"/>
      <c r="E304" s="796"/>
      <c r="F304" s="796"/>
      <c r="G304" s="796"/>
      <c r="H304" s="796"/>
      <c r="I304" s="800"/>
      <c r="J304" s="796"/>
      <c r="K304" s="796"/>
      <c r="L304" s="801"/>
      <c r="M304" s="796"/>
      <c r="N304" s="796"/>
      <c r="O304" s="796"/>
      <c r="P304" s="800"/>
      <c r="Q304" s="798"/>
      <c r="R304" s="798"/>
      <c r="S304" s="798"/>
      <c r="T304" s="796"/>
      <c r="U304" s="796"/>
      <c r="V304" s="796"/>
      <c r="W304" s="796"/>
      <c r="X304" s="796"/>
      <c r="Y304" s="786"/>
      <c r="Z304" s="786"/>
      <c r="AA304" s="786"/>
      <c r="AB304" s="786"/>
      <c r="AC304" s="786"/>
      <c r="AD304" s="798"/>
      <c r="AE304" s="786"/>
      <c r="AF304" s="786"/>
      <c r="AG304" s="786"/>
      <c r="AH304" s="786"/>
      <c r="AK304" s="798"/>
      <c r="AL304" s="798"/>
      <c r="AM304" s="786"/>
      <c r="AN304" s="786"/>
      <c r="AO304" s="786"/>
      <c r="AP304" s="798"/>
      <c r="AQ304" s="786"/>
      <c r="AR304" s="799"/>
      <c r="AS304" s="796"/>
    </row>
    <row r="305" spans="27:27" x14ac:dyDescent="0.2">
      <c r="AA305" s="786"/>
    </row>
    <row r="306" spans="27:27" x14ac:dyDescent="0.2">
      <c r="AA306" s="786"/>
    </row>
    <row r="307" spans="27:27" x14ac:dyDescent="0.2">
      <c r="AA307" s="786"/>
    </row>
  </sheetData>
  <sheetProtection sheet="1" formatCells="0" formatColumns="0" formatRows="0" insertColumns="0"/>
  <mergeCells count="2">
    <mergeCell ref="A2:C2"/>
    <mergeCell ref="A16:C16"/>
  </mergeCells>
  <conditionalFormatting sqref="O135 O46:P46 O99:P99">
    <cfRule type="cellIs" dxfId="77" priority="189" operator="between">
      <formula>31</formula>
      <formula>60</formula>
    </cfRule>
    <cfRule type="cellIs" dxfId="76" priority="190" operator="between">
      <formula>0.1</formula>
      <formula>30</formula>
    </cfRule>
  </conditionalFormatting>
  <conditionalFormatting sqref="O46:P46">
    <cfRule type="cellIs" dxfId="75" priority="187" operator="between">
      <formula>31</formula>
      <formula>60</formula>
    </cfRule>
    <cfRule type="cellIs" dxfId="74" priority="188" operator="between">
      <formula>0.1</formula>
      <formula>30</formula>
    </cfRule>
  </conditionalFormatting>
  <conditionalFormatting sqref="M46:N46">
    <cfRule type="containsText" dxfId="73" priority="185" operator="containsText" text="DNDF">
      <formula>NOT(ISERROR(SEARCH("DNDF",M46)))</formula>
    </cfRule>
    <cfRule type="containsText" dxfId="72" priority="186" operator="containsText" text="DNF">
      <formula>NOT(ISERROR(SEARCH("DNF",M46)))</formula>
    </cfRule>
  </conditionalFormatting>
  <conditionalFormatting sqref="O117:P117">
    <cfRule type="cellIs" dxfId="71" priority="153" operator="between">
      <formula>31</formula>
      <formula>60</formula>
    </cfRule>
    <cfRule type="cellIs" dxfId="70" priority="154" operator="between">
      <formula>0.1</formula>
      <formula>30</formula>
    </cfRule>
  </conditionalFormatting>
  <conditionalFormatting sqref="O117:P117">
    <cfRule type="cellIs" dxfId="69" priority="151" operator="between">
      <formula>31</formula>
      <formula>60</formula>
    </cfRule>
    <cfRule type="cellIs" dxfId="68" priority="152" operator="between">
      <formula>0.1</formula>
      <formula>30</formula>
    </cfRule>
  </conditionalFormatting>
  <conditionalFormatting sqref="M117:N117">
    <cfRule type="containsText" dxfId="67" priority="149" operator="containsText" text="DNDF">
      <formula>NOT(ISERROR(SEARCH("DNDF",M117)))</formula>
    </cfRule>
    <cfRule type="containsText" dxfId="66" priority="150" operator="containsText" text="DNF">
      <formula>NOT(ISERROR(SEARCH("DNF",M117)))</formula>
    </cfRule>
  </conditionalFormatting>
  <conditionalFormatting sqref="O247:P247">
    <cfRule type="cellIs" dxfId="65" priority="113" operator="between">
      <formula>31</formula>
      <formula>60</formula>
    </cfRule>
    <cfRule type="cellIs" dxfId="64" priority="114" operator="between">
      <formula>0.1</formula>
      <formula>30</formula>
    </cfRule>
  </conditionalFormatting>
  <conditionalFormatting sqref="O48:O63">
    <cfRule type="cellIs" dxfId="63" priority="95" operator="between">
      <formula>31</formula>
      <formula>60</formula>
    </cfRule>
    <cfRule type="cellIs" dxfId="62" priority="96" operator="between">
      <formula>0.1</formula>
      <formula>30</formula>
    </cfRule>
  </conditionalFormatting>
  <conditionalFormatting sqref="O99:P99">
    <cfRule type="cellIs" dxfId="61" priority="85" operator="between">
      <formula>31</formula>
      <formula>60</formula>
    </cfRule>
    <cfRule type="cellIs" dxfId="60" priority="86" operator="between">
      <formula>0.1</formula>
      <formula>30</formula>
    </cfRule>
  </conditionalFormatting>
  <conditionalFormatting sqref="M99:N99">
    <cfRule type="containsText" dxfId="59" priority="83" operator="containsText" text="DNDF">
      <formula>NOT(ISERROR(SEARCH("DNDF",M99)))</formula>
    </cfRule>
    <cfRule type="containsText" dxfId="58" priority="84" operator="containsText" text="DNF">
      <formula>NOT(ISERROR(SEARCH("DNF",M99)))</formula>
    </cfRule>
  </conditionalFormatting>
  <conditionalFormatting sqref="O175:P175">
    <cfRule type="cellIs" dxfId="57" priority="81" operator="between">
      <formula>31</formula>
      <formula>60</formula>
    </cfRule>
    <cfRule type="cellIs" dxfId="56" priority="82" operator="between">
      <formula>0.1</formula>
      <formula>30</formula>
    </cfRule>
  </conditionalFormatting>
  <conditionalFormatting sqref="O175:P175">
    <cfRule type="cellIs" dxfId="55" priority="79" operator="between">
      <formula>31</formula>
      <formula>60</formula>
    </cfRule>
    <cfRule type="cellIs" dxfId="54" priority="80" operator="between">
      <formula>0.1</formula>
      <formula>30</formula>
    </cfRule>
  </conditionalFormatting>
  <conditionalFormatting sqref="M175:N175">
    <cfRule type="containsText" dxfId="53" priority="77" operator="containsText" text="DNDF">
      <formula>NOT(ISERROR(SEARCH("DNDF",M175)))</formula>
    </cfRule>
    <cfRule type="containsText" dxfId="52" priority="78" operator="containsText" text="DNF">
      <formula>NOT(ISERROR(SEARCH("DNF",M175)))</formula>
    </cfRule>
  </conditionalFormatting>
  <conditionalFormatting sqref="O246:P246">
    <cfRule type="cellIs" dxfId="51" priority="75" operator="between">
      <formula>31</formula>
      <formula>60</formula>
    </cfRule>
    <cfRule type="cellIs" dxfId="50" priority="76" operator="between">
      <formula>0.1</formula>
      <formula>30</formula>
    </cfRule>
  </conditionalFormatting>
  <conditionalFormatting sqref="O246:P246">
    <cfRule type="cellIs" dxfId="49" priority="73" operator="between">
      <formula>31</formula>
      <formula>60</formula>
    </cfRule>
    <cfRule type="cellIs" dxfId="48" priority="74" operator="between">
      <formula>0.1</formula>
      <formula>30</formula>
    </cfRule>
  </conditionalFormatting>
  <conditionalFormatting sqref="M246:N246">
    <cfRule type="containsText" dxfId="47" priority="71" operator="containsText" text="DNDF">
      <formula>NOT(ISERROR(SEARCH("DNDF",M246)))</formula>
    </cfRule>
    <cfRule type="containsText" dxfId="46" priority="72" operator="containsText" text="DNF">
      <formula>NOT(ISERROR(SEARCH("DNF",M246)))</formula>
    </cfRule>
  </conditionalFormatting>
  <conditionalFormatting sqref="O140:P140">
    <cfRule type="cellIs" dxfId="45" priority="69" operator="between">
      <formula>31</formula>
      <formula>60</formula>
    </cfRule>
    <cfRule type="cellIs" dxfId="44" priority="70" operator="between">
      <formula>0.1</formula>
      <formula>30</formula>
    </cfRule>
  </conditionalFormatting>
  <conditionalFormatting sqref="O140:P140">
    <cfRule type="cellIs" dxfId="43" priority="67" operator="between">
      <formula>31</formula>
      <formula>60</formula>
    </cfRule>
    <cfRule type="cellIs" dxfId="42" priority="68" operator="between">
      <formula>0.1</formula>
      <formula>30</formula>
    </cfRule>
  </conditionalFormatting>
  <conditionalFormatting sqref="M140:N140">
    <cfRule type="containsText" dxfId="41" priority="65" operator="containsText" text="DNDF">
      <formula>NOT(ISERROR(SEARCH("DNDF",M140)))</formula>
    </cfRule>
    <cfRule type="containsText" dxfId="40" priority="66" operator="containsText" text="DNF">
      <formula>NOT(ISERROR(SEARCH("DNF",M140)))</formula>
    </cfRule>
  </conditionalFormatting>
  <conditionalFormatting sqref="P48:P63">
    <cfRule type="cellIs" dxfId="39" priority="53" operator="between">
      <formula>31</formula>
      <formula>60</formula>
    </cfRule>
    <cfRule type="cellIs" dxfId="38" priority="54" operator="between">
      <formula>0.1</formula>
      <formula>30</formula>
    </cfRule>
  </conditionalFormatting>
  <conditionalFormatting sqref="P3:P10">
    <cfRule type="cellIs" dxfId="37" priority="37" operator="between">
      <formula>31</formula>
      <formula>60</formula>
    </cfRule>
    <cfRule type="cellIs" dxfId="36" priority="38" operator="between">
      <formula>0.1</formula>
      <formula>30</formula>
    </cfRule>
  </conditionalFormatting>
  <conditionalFormatting sqref="P17:P40">
    <cfRule type="cellIs" dxfId="35" priority="35" operator="between">
      <formula>31</formula>
      <formula>60</formula>
    </cfRule>
    <cfRule type="cellIs" dxfId="34" priority="36" operator="between">
      <formula>0.1</formula>
      <formula>30</formula>
    </cfRule>
  </conditionalFormatting>
  <conditionalFormatting sqref="O72:O93">
    <cfRule type="cellIs" dxfId="33" priority="33" operator="between">
      <formula>31</formula>
      <formula>60</formula>
    </cfRule>
    <cfRule type="cellIs" dxfId="32" priority="34" operator="between">
      <formula>0.1</formula>
      <formula>30</formula>
    </cfRule>
  </conditionalFormatting>
  <conditionalFormatting sqref="P72:P93">
    <cfRule type="cellIs" dxfId="31" priority="31" operator="between">
      <formula>31</formula>
      <formula>60</formula>
    </cfRule>
    <cfRule type="cellIs" dxfId="30" priority="32" operator="between">
      <formula>0.1</formula>
      <formula>30</formula>
    </cfRule>
  </conditionalFormatting>
  <conditionalFormatting sqref="O101:O111">
    <cfRule type="cellIs" dxfId="29" priority="29" operator="between">
      <formula>31</formula>
      <formula>60</formula>
    </cfRule>
    <cfRule type="cellIs" dxfId="28" priority="30" operator="between">
      <formula>0.1</formula>
      <formula>30</formula>
    </cfRule>
  </conditionalFormatting>
  <conditionalFormatting sqref="P101:P111">
    <cfRule type="cellIs" dxfId="27" priority="27" operator="between">
      <formula>31</formula>
      <formula>60</formula>
    </cfRule>
    <cfRule type="cellIs" dxfId="26" priority="28" operator="between">
      <formula>0.1</formula>
      <formula>30</formula>
    </cfRule>
  </conditionalFormatting>
  <conditionalFormatting sqref="O119:O134">
    <cfRule type="cellIs" dxfId="25" priority="25" operator="between">
      <formula>31</formula>
      <formula>60</formula>
    </cfRule>
    <cfRule type="cellIs" dxfId="24" priority="26" operator="between">
      <formula>0.1</formula>
      <formula>30</formula>
    </cfRule>
  </conditionalFormatting>
  <conditionalFormatting sqref="P119:P134">
    <cfRule type="cellIs" dxfId="23" priority="23" operator="between">
      <formula>31</formula>
      <formula>60</formula>
    </cfRule>
    <cfRule type="cellIs" dxfId="22" priority="24" operator="between">
      <formula>0.1</formula>
      <formula>30</formula>
    </cfRule>
  </conditionalFormatting>
  <conditionalFormatting sqref="O142:O169">
    <cfRule type="cellIs" dxfId="21" priority="21" operator="between">
      <formula>31</formula>
      <formula>60</formula>
    </cfRule>
    <cfRule type="cellIs" dxfId="20" priority="22" operator="between">
      <formula>0.1</formula>
      <formula>30</formula>
    </cfRule>
  </conditionalFormatting>
  <conditionalFormatting sqref="P142:P169">
    <cfRule type="cellIs" dxfId="19" priority="19" operator="between">
      <formula>31</formula>
      <formula>60</formula>
    </cfRule>
    <cfRule type="cellIs" dxfId="18" priority="20" operator="between">
      <formula>0.1</formula>
      <formula>30</formula>
    </cfRule>
  </conditionalFormatting>
  <conditionalFormatting sqref="O177:O209">
    <cfRule type="cellIs" dxfId="17" priority="17" operator="between">
      <formula>31</formula>
      <formula>60</formula>
    </cfRule>
    <cfRule type="cellIs" dxfId="16" priority="18" operator="between">
      <formula>0.1</formula>
      <formula>30</formula>
    </cfRule>
  </conditionalFormatting>
  <conditionalFormatting sqref="P177:P209">
    <cfRule type="cellIs" dxfId="15" priority="15" operator="between">
      <formula>31</formula>
      <formula>60</formula>
    </cfRule>
    <cfRule type="cellIs" dxfId="14" priority="16" operator="between">
      <formula>0.1</formula>
      <formula>30</formula>
    </cfRule>
  </conditionalFormatting>
  <conditionalFormatting sqref="O216:O240">
    <cfRule type="cellIs" dxfId="13" priority="13" operator="between">
      <formula>31</formula>
      <formula>60</formula>
    </cfRule>
    <cfRule type="cellIs" dxfId="12" priority="14" operator="between">
      <formula>0.1</formula>
      <formula>30</formula>
    </cfRule>
  </conditionalFormatting>
  <conditionalFormatting sqref="P216:P240">
    <cfRule type="cellIs" dxfId="11" priority="11" operator="between">
      <formula>31</formula>
      <formula>60</formula>
    </cfRule>
    <cfRule type="cellIs" dxfId="10" priority="12" operator="between">
      <formula>0.1</formula>
      <formula>30</formula>
    </cfRule>
  </conditionalFormatting>
  <conditionalFormatting sqref="O248:O275">
    <cfRule type="cellIs" dxfId="9" priority="9" operator="between">
      <formula>31</formula>
      <formula>60</formula>
    </cfRule>
    <cfRule type="cellIs" dxfId="8" priority="10" operator="between">
      <formula>0.1</formula>
      <formula>30</formula>
    </cfRule>
  </conditionalFormatting>
  <conditionalFormatting sqref="P248:P275">
    <cfRule type="cellIs" dxfId="7" priority="7" operator="between">
      <formula>31</formula>
      <formula>60</formula>
    </cfRule>
    <cfRule type="cellIs" dxfId="6" priority="8" operator="between">
      <formula>0.1</formula>
      <formula>30</formula>
    </cfRule>
  </conditionalFormatting>
  <conditionalFormatting sqref="O70:P70">
    <cfRule type="cellIs" dxfId="5" priority="5" operator="between">
      <formula>31</formula>
      <formula>60</formula>
    </cfRule>
    <cfRule type="cellIs" dxfId="4" priority="6" operator="between">
      <formula>0.1</formula>
      <formula>30</formula>
    </cfRule>
  </conditionalFormatting>
  <conditionalFormatting sqref="O70:P70">
    <cfRule type="cellIs" dxfId="3" priority="3" operator="between">
      <formula>31</formula>
      <formula>60</formula>
    </cfRule>
    <cfRule type="cellIs" dxfId="2" priority="4" operator="between">
      <formula>0.1</formula>
      <formula>30</formula>
    </cfRule>
  </conditionalFormatting>
  <conditionalFormatting sqref="M70:N70">
    <cfRule type="containsText" dxfId="1" priority="1" operator="containsText" text="DNDF">
      <formula>NOT(ISERROR(SEARCH("DNDF",M70)))</formula>
    </cfRule>
    <cfRule type="containsText" dxfId="0" priority="2" operator="containsText" text="DNF">
      <formula>NOT(ISERROR(SEARCH("DNF",M70)))</formula>
    </cfRule>
  </conditionalFormatting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8383C-C756-1740-AEB8-A042F9568AF4}">
  <dimension ref="A1:AR48"/>
  <sheetViews>
    <sheetView topLeftCell="O14" workbookViewId="0">
      <selection activeCell="R21" sqref="O21:R25"/>
    </sheetView>
  </sheetViews>
  <sheetFormatPr baseColWidth="10" defaultColWidth="11.5" defaultRowHeight="15" x14ac:dyDescent="0.2"/>
  <cols>
    <col min="1" max="1" width="11.5" customWidth="1"/>
    <col min="2" max="2" width="21" customWidth="1"/>
    <col min="12" max="12" width="19.5" customWidth="1"/>
    <col min="13" max="13" width="19.6640625" customWidth="1"/>
    <col min="14" max="14" width="10.83203125" style="100" customWidth="1"/>
    <col min="15" max="15" width="10.83203125" style="359" customWidth="1"/>
    <col min="16" max="17" width="10.83203125" style="100" customWidth="1"/>
    <col min="18" max="18" width="10.6640625" style="100" customWidth="1"/>
    <col min="19" max="19" width="17.1640625" style="100" hidden="1" customWidth="1"/>
    <col min="20" max="20" width="13.1640625" customWidth="1"/>
    <col min="21" max="21" width="11.83203125" customWidth="1"/>
    <col min="22" max="23" width="10.83203125" customWidth="1"/>
    <col min="24" max="24" width="14.1640625" hidden="1" customWidth="1"/>
    <col min="25" max="25" width="7.6640625" bestFit="1" customWidth="1"/>
    <col min="26" max="26" width="10.83203125" hidden="1" customWidth="1"/>
    <col min="27" max="27" width="15.5" hidden="1" customWidth="1"/>
    <col min="28" max="28" width="15.33203125" bestFit="1" customWidth="1"/>
    <col min="29" max="29" width="14.5" bestFit="1" customWidth="1"/>
    <col min="30" max="30" width="14.5" customWidth="1"/>
    <col min="31" max="31" width="10.83203125" customWidth="1"/>
    <col min="32" max="32" width="29" style="8" bestFit="1" customWidth="1"/>
    <col min="33" max="33" width="11.6640625" style="8" bestFit="1" customWidth="1"/>
    <col min="34" max="34" width="11.33203125" style="8" bestFit="1" customWidth="1"/>
    <col min="35" max="35" width="11.6640625" style="8" bestFit="1" customWidth="1"/>
    <col min="36" max="36" width="13.83203125" style="8" bestFit="1" customWidth="1"/>
    <col min="37" max="37" width="11.6640625" style="8" bestFit="1" customWidth="1"/>
    <col min="38" max="38" width="12.33203125" style="8" bestFit="1" customWidth="1"/>
    <col min="39" max="39" width="11.6640625" style="8" bestFit="1" customWidth="1"/>
    <col min="40" max="40" width="14.83203125" style="8" bestFit="1" customWidth="1"/>
    <col min="41" max="41" width="11.6640625" style="8" bestFit="1" customWidth="1"/>
    <col min="42" max="42" width="11.33203125" style="8" bestFit="1" customWidth="1"/>
  </cols>
  <sheetData>
    <row r="1" spans="1:44" x14ac:dyDescent="0.2">
      <c r="A1" s="263"/>
      <c r="B1" s="263"/>
      <c r="C1" s="337"/>
      <c r="D1" s="338"/>
      <c r="E1" s="337"/>
      <c r="F1" s="337"/>
      <c r="G1" s="263"/>
      <c r="H1" s="263"/>
      <c r="I1" s="263"/>
      <c r="J1" s="263"/>
      <c r="K1" s="263"/>
      <c r="L1" s="263"/>
      <c r="M1" s="263"/>
      <c r="N1" s="334"/>
      <c r="O1" s="335"/>
      <c r="P1" s="336"/>
      <c r="Q1" s="336"/>
      <c r="R1" s="336"/>
      <c r="S1" s="336"/>
      <c r="T1" s="267"/>
      <c r="U1" s="267"/>
      <c r="V1" s="263"/>
      <c r="W1" s="263"/>
      <c r="X1" s="263"/>
      <c r="Y1" s="263"/>
      <c r="Z1" s="263"/>
      <c r="AA1" s="263"/>
      <c r="AB1" s="263"/>
      <c r="AC1" s="263"/>
      <c r="AD1" s="263"/>
      <c r="AE1" s="263"/>
      <c r="AF1" s="10"/>
      <c r="AG1" s="10"/>
      <c r="AH1" s="10"/>
      <c r="AI1" s="10"/>
      <c r="AJ1" s="10"/>
      <c r="AK1" s="10"/>
      <c r="AL1" s="10"/>
    </row>
    <row r="2" spans="1:44" ht="16" thickBot="1" x14ac:dyDescent="0.25">
      <c r="A2" s="208"/>
      <c r="B2" s="208"/>
      <c r="C2" s="208"/>
      <c r="D2" s="209"/>
      <c r="E2" s="208"/>
      <c r="F2" s="208"/>
      <c r="G2" s="208"/>
      <c r="H2" s="208"/>
      <c r="I2" s="208"/>
      <c r="J2" s="208"/>
      <c r="K2" s="263"/>
      <c r="L2" s="263"/>
      <c r="M2" s="334"/>
      <c r="N2" s="335"/>
      <c r="O2" s="336"/>
      <c r="P2" s="336"/>
      <c r="Q2" s="336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10"/>
      <c r="AG2" s="10"/>
      <c r="AH2" s="10"/>
      <c r="AI2" s="10"/>
      <c r="AJ2" s="10"/>
      <c r="AK2" s="10"/>
      <c r="AL2" s="10"/>
    </row>
    <row r="3" spans="1:44" ht="32" x14ac:dyDescent="0.2">
      <c r="A3" s="208"/>
      <c r="B3" s="207" t="s">
        <v>496</v>
      </c>
      <c r="C3" s="115" t="s">
        <v>413</v>
      </c>
      <c r="D3" s="117" t="s">
        <v>448</v>
      </c>
      <c r="E3" s="116" t="s">
        <v>415</v>
      </c>
      <c r="F3" s="118" t="s">
        <v>416</v>
      </c>
      <c r="G3" s="208"/>
      <c r="H3" s="208"/>
      <c r="I3" s="208"/>
      <c r="J3" s="208"/>
      <c r="K3" s="208"/>
      <c r="L3" s="348" t="s">
        <v>497</v>
      </c>
      <c r="M3" s="353" t="s">
        <v>413</v>
      </c>
      <c r="N3" s="120" t="s">
        <v>448</v>
      </c>
      <c r="O3" s="119" t="s">
        <v>415</v>
      </c>
      <c r="P3" s="121" t="s">
        <v>416</v>
      </c>
      <c r="Q3" s="465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263"/>
      <c r="AR3" s="337"/>
    </row>
    <row r="4" spans="1:44" x14ac:dyDescent="0.2">
      <c r="A4" s="208"/>
      <c r="B4" s="210" t="s">
        <v>498</v>
      </c>
      <c r="C4" s="211">
        <f>SUMIFS(volume, inter_shipping_label, "FY23 inter")</f>
        <v>5472</v>
      </c>
      <c r="D4" s="212">
        <f>C4/$C$8</f>
        <v>0.17108051476726233</v>
      </c>
      <c r="E4" s="211">
        <f>SUMIFS(weight, inter_shipping_label, "FY23 inter")</f>
        <v>73642</v>
      </c>
      <c r="F4" s="213">
        <f>E4/$E$8</f>
        <v>7.680139431835295E-2</v>
      </c>
      <c r="G4" s="208"/>
      <c r="H4" s="208"/>
      <c r="I4" s="208"/>
      <c r="J4" s="208"/>
      <c r="K4" s="208"/>
      <c r="L4" s="349" t="s">
        <v>499</v>
      </c>
      <c r="M4" s="354">
        <f>SUMIFS(volume, intra_shipping_label, "FY23 intra", work_package, "&lt;&gt;Fuel")</f>
        <v>16363</v>
      </c>
      <c r="N4" s="262">
        <f>M4/'Summary tables'!$D$16</f>
        <v>0.40419435318528762</v>
      </c>
      <c r="O4" s="211">
        <f>SUMIFS(weight, intra_shipping_label, "FY23 intra", work_package, "&lt;&gt;Fuel")</f>
        <v>159006</v>
      </c>
      <c r="P4" s="213">
        <f>O4/'Summary tables'!$F$16</f>
        <v>0.30089925743136348</v>
      </c>
      <c r="Q4" s="335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263"/>
      <c r="AR4" s="263"/>
    </row>
    <row r="5" spans="1:44" x14ac:dyDescent="0.2">
      <c r="A5" s="208"/>
      <c r="B5" s="210" t="s">
        <v>500</v>
      </c>
      <c r="C5" s="211">
        <f>SUMIFS(volume, inter_shipping_label, "FY24 inter")</f>
        <v>5319.01</v>
      </c>
      <c r="D5" s="212">
        <f>C5/$C$8</f>
        <v>0.16629732617913304</v>
      </c>
      <c r="E5" s="211">
        <f>SUMIFS(weight, inter_shipping_label, "FY24 inter")</f>
        <v>149074.4</v>
      </c>
      <c r="F5" s="213">
        <f>E5/$E$8</f>
        <v>0.15547000050476462</v>
      </c>
      <c r="G5" s="208"/>
      <c r="H5" s="208"/>
      <c r="I5" s="208"/>
      <c r="J5" s="208"/>
      <c r="K5" s="208"/>
      <c r="L5" s="349" t="s">
        <v>501</v>
      </c>
      <c r="M5" s="354">
        <f>SUMIFS(volume, intra_shipping_label, "FY24 intra",work_package, "&lt;&gt;Fuel")</f>
        <v>4695</v>
      </c>
      <c r="N5" s="212">
        <f>M5/'Summary tables'!$D$16</f>
        <v>0.11597460662500308</v>
      </c>
      <c r="O5" s="211">
        <f>SUMIFS(weight, intra_shipping_label, "FY24 intra", work_package, "&lt;&gt;Fuel")</f>
        <v>67280</v>
      </c>
      <c r="P5" s="213">
        <f>O5/'Summary tables'!$F$16</f>
        <v>0.12731910770651508</v>
      </c>
      <c r="Q5" s="335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R5" s="263"/>
    </row>
    <row r="6" spans="1:44" x14ac:dyDescent="0.2">
      <c r="A6" s="208"/>
      <c r="B6" s="210" t="s">
        <v>502</v>
      </c>
      <c r="C6" s="211">
        <f>SUMIFS(volume, inter_shipping_label, "FY25 inter")</f>
        <v>6722.2800000000007</v>
      </c>
      <c r="D6" s="212">
        <f>C6/$C$8</f>
        <v>0.21017016133217697</v>
      </c>
      <c r="E6" s="211">
        <f>SUMIFS(weight, inter_shipping_label, "FY25 inter")</f>
        <v>189661.8</v>
      </c>
      <c r="F6" s="213">
        <f>E6/$E$8</f>
        <v>0.19779868402445064</v>
      </c>
      <c r="G6" s="208"/>
      <c r="H6" s="208"/>
      <c r="I6" s="208"/>
      <c r="J6" s="208"/>
      <c r="K6" s="208"/>
      <c r="L6" s="349" t="s">
        <v>503</v>
      </c>
      <c r="M6" s="354">
        <f>SUMIFS(volume, intra_shipping_label, "FY25 intra", work_package, "&lt;&gt;Fuel")</f>
        <v>9320</v>
      </c>
      <c r="N6" s="212">
        <f>M6/'Summary tables'!$D$16</f>
        <v>0.23022009238445768</v>
      </c>
      <c r="O6" s="211">
        <f>SUMIFS(weight, intra_shipping_label, "FY25 intra", work_package, "&lt;&gt;Fuel")</f>
        <v>111998</v>
      </c>
      <c r="P6" s="213">
        <f>O6/'Summary tables'!$F$16</f>
        <v>0.21194241119075916</v>
      </c>
      <c r="Q6" s="335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R6" s="263"/>
    </row>
    <row r="7" spans="1:44" x14ac:dyDescent="0.2">
      <c r="A7" s="208"/>
      <c r="B7" s="210" t="s">
        <v>504</v>
      </c>
      <c r="C7" s="211">
        <f>SUMIFS(volume, inter_shipping_label, "FY26 inter")</f>
        <v>14471.65</v>
      </c>
      <c r="D7" s="212">
        <f>C7/$C$8</f>
        <v>0.45245199772142758</v>
      </c>
      <c r="E7" s="211">
        <f>SUMIFS(weight, inter_shipping_label, "FY26 inter")</f>
        <v>546484.6</v>
      </c>
      <c r="F7" s="213">
        <f>E7/$E$8</f>
        <v>0.5699299211524318</v>
      </c>
      <c r="G7" s="208"/>
      <c r="H7" s="208"/>
      <c r="I7" s="208"/>
      <c r="J7" s="208"/>
      <c r="K7" s="208"/>
      <c r="L7" s="349" t="s">
        <v>503</v>
      </c>
      <c r="M7" s="354">
        <f>SUMIFS(volume, intra_shipping_label, "FY26 intra", work_package, "&lt;&gt;Fuel")</f>
        <v>9372</v>
      </c>
      <c r="N7" s="212">
        <f>M7/'Summary tables'!$D$16</f>
        <v>0.23150458217029371</v>
      </c>
      <c r="O7" s="211">
        <f>SUMIFS(weight, intra_shipping_label, "FY26 intra",work_package, "&lt;&gt;Fuel")</f>
        <v>177911</v>
      </c>
      <c r="P7" s="213">
        <f>O7/'Summary tables'!$F$16</f>
        <v>0.33667463988070456</v>
      </c>
      <c r="Q7" s="335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R7" s="263"/>
    </row>
    <row r="8" spans="1:44" ht="16" thickBot="1" x14ac:dyDescent="0.25">
      <c r="A8" s="208"/>
      <c r="B8" s="214" t="s">
        <v>438</v>
      </c>
      <c r="C8" s="215">
        <f>SUM(C4:C7)</f>
        <v>31984.940000000002</v>
      </c>
      <c r="D8" s="216">
        <f>SUM(D4:D7)</f>
        <v>1</v>
      </c>
      <c r="E8" s="217">
        <f>SUM(E4:E7)</f>
        <v>958862.79999999993</v>
      </c>
      <c r="F8" s="218">
        <f>SUM(F4:F7)</f>
        <v>1</v>
      </c>
      <c r="G8" s="208"/>
      <c r="H8" s="208"/>
      <c r="I8" s="208"/>
      <c r="J8" s="208"/>
      <c r="K8" s="208"/>
      <c r="L8" s="350" t="s">
        <v>505</v>
      </c>
      <c r="M8" s="355">
        <f>SUMIFS(volume, intra_shipping_label, "At South Pole", work_package, "&lt;&gt;Fuel")</f>
        <v>733</v>
      </c>
      <c r="N8" s="248">
        <f>M8/'Summary tables'!$D$16</f>
        <v>1.8106365634957884E-2</v>
      </c>
      <c r="O8" s="247">
        <f>SUMIFS(weight, intra_shipping_label, "At South Pole", work_package, "&lt;&gt;Fuel")</f>
        <v>12241</v>
      </c>
      <c r="P8" s="252">
        <f>O8/'Summary tables'!$F$16</f>
        <v>2.3164583790657715E-2</v>
      </c>
      <c r="Q8" s="352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R8" s="263"/>
    </row>
    <row r="9" spans="1:44" ht="16" thickBot="1" x14ac:dyDescent="0.25">
      <c r="A9" s="208"/>
      <c r="B9" s="246" t="s">
        <v>506</v>
      </c>
      <c r="C9" s="247">
        <f>SUMIFS(volume, inter_shipping_label, "In McMurdo")</f>
        <v>20513</v>
      </c>
      <c r="D9" s="248"/>
      <c r="E9" s="247">
        <f>SUMIFS(weight, inter_shipping_label, "In McMurdo")</f>
        <v>205787</v>
      </c>
      <c r="F9" s="213"/>
      <c r="G9" s="208"/>
      <c r="H9" s="208"/>
      <c r="I9" s="208"/>
      <c r="J9" s="208"/>
      <c r="K9" s="208"/>
      <c r="L9" s="351" t="s">
        <v>507</v>
      </c>
      <c r="M9" s="356">
        <f>SUM(M4:M8)</f>
        <v>40483</v>
      </c>
      <c r="N9" s="253">
        <f>SUM(N4:N8)</f>
        <v>1</v>
      </c>
      <c r="O9" s="254">
        <f>SUM(O4:O8)</f>
        <v>528436</v>
      </c>
      <c r="P9" s="255">
        <f>SUM(P4:P8)</f>
        <v>1</v>
      </c>
      <c r="Q9" s="466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R9" s="263"/>
    </row>
    <row r="10" spans="1:44" ht="16" thickBot="1" x14ac:dyDescent="0.25">
      <c r="A10" s="208"/>
      <c r="B10" s="246" t="s">
        <v>121</v>
      </c>
      <c r="C10" s="247">
        <f>SUMIFS(volume, inter_shipping_label, "At South Pole")</f>
        <v>733</v>
      </c>
      <c r="D10" s="248"/>
      <c r="E10" s="247">
        <f>SUMIFS(weight, inter_shipping_label, "At South Pole")</f>
        <v>12241</v>
      </c>
      <c r="F10" s="213"/>
      <c r="G10" s="208"/>
      <c r="H10" s="208"/>
      <c r="I10" s="208"/>
      <c r="J10" s="208"/>
      <c r="K10" s="208"/>
      <c r="L10" s="208"/>
      <c r="M10" s="357"/>
      <c r="N10" s="347"/>
      <c r="O10" s="346"/>
      <c r="P10" s="346"/>
      <c r="Q10" s="444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R10" s="263"/>
    </row>
    <row r="11" spans="1:44" ht="16" thickBot="1" x14ac:dyDescent="0.25">
      <c r="A11" s="208"/>
      <c r="B11" s="249" t="s">
        <v>507</v>
      </c>
      <c r="C11" s="250">
        <f>C9+C8+C10</f>
        <v>53230.94</v>
      </c>
      <c r="D11" s="251"/>
      <c r="E11" s="251">
        <f>E9+E8+E10</f>
        <v>1176890.7999999998</v>
      </c>
      <c r="F11" s="219"/>
      <c r="G11" s="208"/>
      <c r="H11" s="208"/>
      <c r="I11" s="208"/>
      <c r="J11" s="208"/>
      <c r="K11" s="208"/>
      <c r="L11" s="485" t="s">
        <v>508</v>
      </c>
      <c r="M11" s="486">
        <f>'MASTER INPUT SHEET'!J108-'MASTER INPUT SHEET'!J107</f>
        <v>40483</v>
      </c>
      <c r="N11" s="484"/>
      <c r="O11" s="483">
        <f>'MASTER INPUT SHEET'!L108-'MASTER INPUT SHEET'!L107</f>
        <v>528436</v>
      </c>
      <c r="P11" s="487"/>
      <c r="Q11" s="444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R11" s="263"/>
    </row>
    <row r="12" spans="1:44" x14ac:dyDescent="0.2">
      <c r="A12" s="208"/>
      <c r="B12" s="263"/>
      <c r="C12" s="263"/>
      <c r="D12" s="264"/>
      <c r="E12" s="263"/>
      <c r="F12" s="263"/>
      <c r="G12" s="263"/>
      <c r="H12" s="263"/>
      <c r="I12" s="263"/>
      <c r="J12" s="263"/>
      <c r="K12" s="208"/>
      <c r="L12" s="208"/>
      <c r="M12" s="357"/>
      <c r="N12" s="347"/>
      <c r="O12" s="346"/>
      <c r="P12" s="346"/>
      <c r="Q12" s="444"/>
      <c r="R12" s="208"/>
      <c r="S12" s="208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E12" s="263"/>
      <c r="AF12" s="687" t="s">
        <v>509</v>
      </c>
      <c r="AG12" s="692">
        <v>6.8</v>
      </c>
    </row>
    <row r="13" spans="1:44" ht="16" thickBot="1" x14ac:dyDescent="0.25">
      <c r="A13" s="208"/>
      <c r="B13" s="263"/>
      <c r="C13" s="263"/>
      <c r="D13" s="263"/>
      <c r="E13" s="263"/>
      <c r="F13" s="263"/>
      <c r="G13" s="263"/>
      <c r="H13" s="263"/>
      <c r="I13" s="263"/>
      <c r="J13" s="263"/>
      <c r="K13" s="208"/>
      <c r="L13" s="208"/>
      <c r="M13" s="357"/>
      <c r="N13" s="347"/>
      <c r="O13" s="346"/>
      <c r="P13" s="346"/>
      <c r="Q13" s="444"/>
      <c r="R13" s="208"/>
      <c r="S13" s="208"/>
      <c r="T13" s="263"/>
      <c r="U13" s="263"/>
      <c r="V13" s="263"/>
      <c r="W13" s="263"/>
      <c r="X13" s="263"/>
      <c r="Y13" s="263"/>
      <c r="Z13" s="263"/>
      <c r="AA13" s="263"/>
      <c r="AB13" s="263"/>
      <c r="AC13" s="263"/>
      <c r="AD13" s="263"/>
      <c r="AE13" s="263"/>
      <c r="AF13" s="263"/>
      <c r="AR13" s="263"/>
    </row>
    <row r="14" spans="1:44" ht="81" thickBot="1" x14ac:dyDescent="0.25">
      <c r="A14" s="263"/>
      <c r="B14" s="435" t="s">
        <v>496</v>
      </c>
      <c r="C14" s="497" t="s">
        <v>413</v>
      </c>
      <c r="D14" s="498" t="s">
        <v>415</v>
      </c>
      <c r="E14" s="498" t="s">
        <v>23</v>
      </c>
      <c r="F14" s="498" t="s">
        <v>24</v>
      </c>
      <c r="G14" s="498" t="s">
        <v>25</v>
      </c>
      <c r="H14" s="498" t="s">
        <v>26</v>
      </c>
      <c r="I14" s="498" t="s">
        <v>510</v>
      </c>
      <c r="J14" s="499" t="s">
        <v>511</v>
      </c>
      <c r="K14" s="263"/>
      <c r="L14" s="586" t="s">
        <v>497</v>
      </c>
      <c r="M14" s="514" t="s">
        <v>413</v>
      </c>
      <c r="N14" s="515" t="s">
        <v>415</v>
      </c>
      <c r="O14" s="515" t="s">
        <v>512</v>
      </c>
      <c r="P14" s="516" t="s">
        <v>513</v>
      </c>
      <c r="Q14" s="444"/>
      <c r="R14" s="591" t="s">
        <v>514</v>
      </c>
      <c r="S14" s="591" t="s">
        <v>497</v>
      </c>
      <c r="T14" s="592" t="s">
        <v>515</v>
      </c>
      <c r="U14" s="604" t="s">
        <v>516</v>
      </c>
      <c r="V14" s="599" t="s">
        <v>517</v>
      </c>
      <c r="W14" s="599" t="s">
        <v>518</v>
      </c>
      <c r="X14" s="599" t="s">
        <v>519</v>
      </c>
      <c r="Y14" s="593" t="s">
        <v>520</v>
      </c>
      <c r="Z14" s="599" t="s">
        <v>521</v>
      </c>
      <c r="AA14" s="612" t="s">
        <v>522</v>
      </c>
      <c r="AB14" s="610" t="s">
        <v>523</v>
      </c>
      <c r="AC14" s="611" t="s">
        <v>524</v>
      </c>
      <c r="AD14" s="263"/>
      <c r="AE14" s="263"/>
      <c r="AF14" s="263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263"/>
      <c r="AR14" s="263"/>
    </row>
    <row r="15" spans="1:44" ht="16" thickBot="1" x14ac:dyDescent="0.25">
      <c r="A15" s="263"/>
      <c r="B15" s="436" t="s">
        <v>54</v>
      </c>
      <c r="C15" s="478">
        <f t="shared" ref="C15:C24" si="0">SUMIFS(volume, vessel_comsur,$B15)</f>
        <v>20513</v>
      </c>
      <c r="D15" s="479">
        <f t="shared" ref="D15:D24" si="1">SUMIFS(weight, vessel_comsur,$B15)</f>
        <v>205787</v>
      </c>
      <c r="E15" s="472">
        <f t="shared" ref="E15:E24" si="2">SUMIFS(forty_flat, vessel_comsur,$B15)</f>
        <v>0</v>
      </c>
      <c r="F15" s="472">
        <f t="shared" ref="F15:F24" si="3">SUMIFS(forty_dry, vessel_comsur,$B15)</f>
        <v>0</v>
      </c>
      <c r="G15" s="472">
        <f t="shared" ref="G15:G24" si="4">SUMIFS(twenty_dry, vessel_comsur,$B15)</f>
        <v>0</v>
      </c>
      <c r="H15" s="472">
        <f t="shared" ref="H15:H24" si="5">SUMIFS(twenty_flat, vessel_comsur,$B15)</f>
        <v>0</v>
      </c>
      <c r="I15" s="472">
        <f t="shared" ref="I15:I24" si="6">2*SUMIFS(forty_flat, vessel_comsur,$B15)+SUMIFS(forty_dry, vessel_comsur,$B15)+1*SUMIFS(twenty_flat, vessel_comsur,$B15)+SUMIFS(twenty_dry, vessel_comsur,$B15)</f>
        <v>0</v>
      </c>
      <c r="J15" s="473">
        <f t="shared" ref="J15:J24" si="7">SUMIFS(inter_pallets, vessel_comsur,$B15)</f>
        <v>0</v>
      </c>
      <c r="K15" s="263"/>
      <c r="L15" s="455" t="s">
        <v>121</v>
      </c>
      <c r="M15" s="456">
        <f t="shared" ref="M15:M31" si="8">SUMIFS(volume, spot_lc,L15)</f>
        <v>733</v>
      </c>
      <c r="N15" s="457">
        <f t="shared" ref="N15:N31" si="9">SUMIFS(weight, spot_lc,L15)</f>
        <v>12241</v>
      </c>
      <c r="O15" s="458">
        <f t="shared" ref="O15:O31" si="10">SUMIFS(sleds_spot1, spot_lc,$L15)+SUMIFS(sleds_spot2, spot_lc,$L15)+SUMIFS(sleds_spot3, spot_lc,$L15)</f>
        <v>0</v>
      </c>
      <c r="P15" s="459">
        <f t="shared" ref="P15:P28" si="11">SUMIFS(intra_pallets, spot_lc,$L15)</f>
        <v>0</v>
      </c>
      <c r="Q15" s="444"/>
      <c r="R15" s="502"/>
      <c r="S15" s="502"/>
      <c r="T15" s="506"/>
      <c r="U15" s="605"/>
      <c r="V15" s="600"/>
      <c r="W15" s="600"/>
      <c r="X15" s="600"/>
      <c r="Y15" s="437"/>
      <c r="Z15" s="600"/>
      <c r="AA15" s="437"/>
      <c r="AB15" s="600"/>
      <c r="AC15" s="437"/>
      <c r="AD15" s="263"/>
      <c r="AF15" s="810" t="s">
        <v>525</v>
      </c>
      <c r="AG15" s="691">
        <v>22600</v>
      </c>
      <c r="AH15" s="10"/>
      <c r="AI15" s="10"/>
      <c r="AJ15" s="10"/>
      <c r="AK15" s="10"/>
      <c r="AL15" s="10"/>
      <c r="AM15" s="10"/>
      <c r="AN15" s="10"/>
      <c r="AO15" s="10"/>
      <c r="AP15" s="10"/>
      <c r="AQ15" s="263"/>
    </row>
    <row r="16" spans="1:44" ht="16" thickBot="1" x14ac:dyDescent="0.25">
      <c r="A16" s="263"/>
      <c r="B16" s="436" t="s">
        <v>121</v>
      </c>
      <c r="C16" s="480">
        <f t="shared" si="0"/>
        <v>733</v>
      </c>
      <c r="D16" s="446">
        <f t="shared" si="1"/>
        <v>12241</v>
      </c>
      <c r="E16" s="474">
        <f t="shared" si="2"/>
        <v>0</v>
      </c>
      <c r="F16" s="474">
        <f t="shared" si="3"/>
        <v>0</v>
      </c>
      <c r="G16" s="474">
        <f t="shared" si="4"/>
        <v>0</v>
      </c>
      <c r="H16" s="474">
        <f t="shared" si="5"/>
        <v>0</v>
      </c>
      <c r="I16" s="474">
        <f t="shared" si="6"/>
        <v>0</v>
      </c>
      <c r="J16" s="475">
        <f t="shared" si="7"/>
        <v>0</v>
      </c>
      <c r="K16" s="263"/>
      <c r="L16" s="460" t="s">
        <v>526</v>
      </c>
      <c r="M16" s="461">
        <f t="shared" si="8"/>
        <v>0</v>
      </c>
      <c r="N16" s="462">
        <f t="shared" si="9"/>
        <v>0</v>
      </c>
      <c r="O16" s="463">
        <f t="shared" si="10"/>
        <v>0</v>
      </c>
      <c r="P16" s="464">
        <f t="shared" si="11"/>
        <v>0</v>
      </c>
      <c r="Q16" s="444"/>
      <c r="R16" s="331" t="s">
        <v>527</v>
      </c>
      <c r="S16" s="331" t="s">
        <v>316</v>
      </c>
      <c r="T16" s="481">
        <f>SUMIFS(quantity, spot_lc,S16)</f>
        <v>0</v>
      </c>
      <c r="U16" s="605">
        <f>ROUNDUP(P16,0)</f>
        <v>0</v>
      </c>
      <c r="V16" s="601">
        <f>N16+U16*pallet_extra_weight</f>
        <v>0</v>
      </c>
      <c r="W16" s="601">
        <v>2</v>
      </c>
      <c r="X16" s="601">
        <f>W16*ACL</f>
        <v>45200</v>
      </c>
      <c r="Y16" s="616">
        <f>MAX(U16/5,V16/ACL)</f>
        <v>0</v>
      </c>
      <c r="Z16" s="601">
        <f>X16-V16</f>
        <v>45200</v>
      </c>
      <c r="AA16" s="467">
        <f>Z16/$AG$12</f>
        <v>6647.0588235294117</v>
      </c>
      <c r="AB16" s="615">
        <f>W16-Y16</f>
        <v>2</v>
      </c>
      <c r="AC16" s="467">
        <f>$AB$16*lc_gallons</f>
        <v>6000</v>
      </c>
      <c r="AD16" s="263"/>
      <c r="AE16" s="263"/>
      <c r="AF16" s="690" t="str">
        <f>'Project Roll Up'!M3</f>
        <v>gallons/LC-130</v>
      </c>
      <c r="AG16" s="691">
        <v>3000</v>
      </c>
      <c r="AH16" s="10"/>
      <c r="AI16" s="10"/>
      <c r="AJ16" s="10"/>
      <c r="AK16" s="10"/>
      <c r="AL16" s="10"/>
      <c r="AM16" s="10"/>
      <c r="AN16" s="10"/>
      <c r="AO16" s="10"/>
      <c r="AP16" s="10"/>
      <c r="AQ16" s="263"/>
    </row>
    <row r="17" spans="1:43" x14ac:dyDescent="0.2">
      <c r="A17" s="263"/>
      <c r="B17" s="436" t="s">
        <v>62</v>
      </c>
      <c r="C17" s="481">
        <f>SUMIFS(volume, vessel_comsur,$B17)</f>
        <v>5470</v>
      </c>
      <c r="D17" s="482">
        <f>SUMIFS(weight, vessel_comsur,$B17)</f>
        <v>73632</v>
      </c>
      <c r="E17" s="476">
        <f>SUMIFS(forty_flat, vessel_comsur,$B17)</f>
        <v>0</v>
      </c>
      <c r="F17" s="476">
        <f>SUMIFS(forty_dry, vessel_comsur,$B17)</f>
        <v>0</v>
      </c>
      <c r="G17" s="476">
        <f>SUMIFS(twenty_dry, vessel_comsur,$B17)</f>
        <v>5.75</v>
      </c>
      <c r="H17" s="476">
        <f>SUMIFS(twenty_flat, vessel_comsur,$B17)</f>
        <v>0.5</v>
      </c>
      <c r="I17" s="476">
        <f>2*SUMIFS(forty_flat, vessel_comsur,$B17)+SUMIFS(forty_dry, vessel_comsur,$B17)+1*SUMIFS(twenty_flat, vessel_comsur,$B17)+SUMIFS(twenty_dry, vessel_comsur,$B17)</f>
        <v>6.25</v>
      </c>
      <c r="J17" s="477">
        <f>SUMIFS(inter_pallets, vessel_comsur,$B17)</f>
        <v>0.75</v>
      </c>
      <c r="K17" s="263"/>
      <c r="L17" s="454" t="s">
        <v>399</v>
      </c>
      <c r="M17" s="442">
        <f t="shared" si="8"/>
        <v>5654</v>
      </c>
      <c r="N17" s="445">
        <f t="shared" si="9"/>
        <v>21601</v>
      </c>
      <c r="O17" s="443">
        <f t="shared" si="10"/>
        <v>3</v>
      </c>
      <c r="P17" s="448"/>
      <c r="Q17" s="444"/>
      <c r="R17" s="447"/>
      <c r="S17" s="447"/>
      <c r="T17" s="332"/>
      <c r="U17" s="606"/>
      <c r="V17" s="602"/>
      <c r="W17" s="602"/>
      <c r="X17" s="602"/>
      <c r="Y17" s="617"/>
      <c r="Z17" s="608"/>
      <c r="AA17" s="594"/>
      <c r="AB17" s="619"/>
      <c r="AC17" s="594"/>
      <c r="AD17" s="263"/>
      <c r="AE17" s="263"/>
      <c r="AF17" s="690" t="s">
        <v>528</v>
      </c>
      <c r="AG17" s="691">
        <v>5</v>
      </c>
      <c r="AH17" s="10"/>
      <c r="AI17" s="10"/>
      <c r="AJ17" s="10"/>
      <c r="AK17" s="10"/>
      <c r="AL17" s="10"/>
      <c r="AM17" s="10"/>
      <c r="AN17" s="10"/>
      <c r="AO17" s="10"/>
      <c r="AP17" s="10"/>
      <c r="AQ17" s="263"/>
    </row>
    <row r="18" spans="1:43" ht="16" thickBot="1" x14ac:dyDescent="0.25">
      <c r="A18" s="263"/>
      <c r="B18" s="438" t="s">
        <v>174</v>
      </c>
      <c r="C18" s="480">
        <f>SUMIFS(volume, vessel_comsur,$B18)</f>
        <v>2</v>
      </c>
      <c r="D18" s="446">
        <f>SUMIFS(weight, vessel_comsur,$B18)</f>
        <v>10</v>
      </c>
      <c r="E18" s="474">
        <f t="shared" si="2"/>
        <v>0</v>
      </c>
      <c r="F18" s="474">
        <f t="shared" si="3"/>
        <v>0</v>
      </c>
      <c r="G18" s="474">
        <f t="shared" si="4"/>
        <v>0</v>
      </c>
      <c r="H18" s="474">
        <f t="shared" si="5"/>
        <v>0</v>
      </c>
      <c r="I18" s="474">
        <f t="shared" si="6"/>
        <v>0</v>
      </c>
      <c r="J18" s="475">
        <f>SUMIFS(inter_pallets, vessel_comsur,$B18)</f>
        <v>0.02</v>
      </c>
      <c r="K18" s="263"/>
      <c r="L18" s="454" t="s">
        <v>400</v>
      </c>
      <c r="M18" s="442">
        <f t="shared" si="8"/>
        <v>7989</v>
      </c>
      <c r="N18" s="445">
        <f t="shared" si="9"/>
        <v>109405</v>
      </c>
      <c r="O18" s="443">
        <f t="shared" si="10"/>
        <v>3</v>
      </c>
      <c r="P18" s="448"/>
      <c r="Q18" s="444"/>
      <c r="R18" s="447"/>
      <c r="S18" s="447"/>
      <c r="T18" s="332"/>
      <c r="U18" s="606"/>
      <c r="V18" s="602"/>
      <c r="W18" s="602"/>
      <c r="X18" s="602"/>
      <c r="Y18" s="617"/>
      <c r="Z18" s="608"/>
      <c r="AA18" s="594"/>
      <c r="AB18" s="619"/>
      <c r="AC18" s="594"/>
      <c r="AD18" s="263"/>
      <c r="AE18" s="263"/>
      <c r="AF18" s="701" t="s">
        <v>529</v>
      </c>
      <c r="AG18" s="693">
        <v>5.9</v>
      </c>
      <c r="AH18" s="10"/>
      <c r="AI18" s="10"/>
      <c r="AJ18" s="10"/>
      <c r="AK18" s="10"/>
      <c r="AL18" s="10"/>
      <c r="AM18" s="10"/>
      <c r="AN18" s="10"/>
      <c r="AO18" s="10"/>
      <c r="AP18" s="10"/>
      <c r="AQ18" s="263"/>
    </row>
    <row r="19" spans="1:43" ht="16" thickBot="1" x14ac:dyDescent="0.25">
      <c r="A19" s="263"/>
      <c r="B19" s="436" t="s">
        <v>168</v>
      </c>
      <c r="C19" s="481">
        <f t="shared" si="0"/>
        <v>4704</v>
      </c>
      <c r="D19" s="482">
        <f>SUMIFS(weight, vessel_comsur,$B19)</f>
        <v>121302</v>
      </c>
      <c r="E19" s="476">
        <f t="shared" si="2"/>
        <v>0</v>
      </c>
      <c r="F19" s="476">
        <f t="shared" si="3"/>
        <v>0</v>
      </c>
      <c r="G19" s="476">
        <f t="shared" si="4"/>
        <v>5</v>
      </c>
      <c r="H19" s="476">
        <f t="shared" si="5"/>
        <v>0.25</v>
      </c>
      <c r="I19" s="476">
        <f t="shared" si="6"/>
        <v>5.25</v>
      </c>
      <c r="J19" s="477">
        <f t="shared" si="7"/>
        <v>0</v>
      </c>
      <c r="K19" s="263"/>
      <c r="L19" s="455" t="s">
        <v>401</v>
      </c>
      <c r="M19" s="450">
        <f t="shared" si="8"/>
        <v>2720</v>
      </c>
      <c r="N19" s="451">
        <f t="shared" si="9"/>
        <v>28000</v>
      </c>
      <c r="O19" s="452">
        <f t="shared" si="10"/>
        <v>1</v>
      </c>
      <c r="P19" s="453"/>
      <c r="Q19" s="444"/>
      <c r="R19" s="449"/>
      <c r="S19" s="449"/>
      <c r="T19" s="333"/>
      <c r="U19" s="607"/>
      <c r="V19" s="603"/>
      <c r="W19" s="603"/>
      <c r="X19" s="603"/>
      <c r="Y19" s="618"/>
      <c r="Z19" s="609"/>
      <c r="AA19" s="596"/>
      <c r="AB19" s="620"/>
      <c r="AC19" s="596"/>
      <c r="AD19" s="263"/>
      <c r="AE19" s="263"/>
      <c r="AF19" s="263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263"/>
    </row>
    <row r="20" spans="1:43" ht="16" thickBot="1" x14ac:dyDescent="0.25">
      <c r="A20" s="263"/>
      <c r="B20" s="438" t="s">
        <v>141</v>
      </c>
      <c r="C20" s="480">
        <f t="shared" si="0"/>
        <v>128</v>
      </c>
      <c r="D20" s="446">
        <f>SUMIFS(weight, vessel_comsur,$B20)</f>
        <v>3000</v>
      </c>
      <c r="E20" s="474">
        <f t="shared" si="2"/>
        <v>0</v>
      </c>
      <c r="F20" s="474">
        <f t="shared" si="3"/>
        <v>0</v>
      </c>
      <c r="G20" s="474">
        <f t="shared" si="4"/>
        <v>0</v>
      </c>
      <c r="H20" s="474">
        <f t="shared" si="5"/>
        <v>0</v>
      </c>
      <c r="I20" s="474">
        <f t="shared" si="6"/>
        <v>0</v>
      </c>
      <c r="J20" s="475">
        <f t="shared" si="7"/>
        <v>0.5</v>
      </c>
      <c r="K20" s="263"/>
      <c r="L20" s="460" t="s">
        <v>530</v>
      </c>
      <c r="M20" s="461">
        <f t="shared" si="8"/>
        <v>576</v>
      </c>
      <c r="N20" s="462">
        <f t="shared" si="9"/>
        <v>10380</v>
      </c>
      <c r="O20" s="463">
        <f t="shared" si="10"/>
        <v>0</v>
      </c>
      <c r="P20" s="464">
        <f t="shared" si="11"/>
        <v>2.15</v>
      </c>
      <c r="Q20" s="444"/>
      <c r="R20" s="331" t="s">
        <v>531</v>
      </c>
      <c r="S20" s="331" t="s">
        <v>320</v>
      </c>
      <c r="T20" s="481">
        <f>SUMIFS(quantity, spot_lc,S20)</f>
        <v>3643</v>
      </c>
      <c r="U20" s="605">
        <f>ROUNDUP(P20,0)</f>
        <v>3</v>
      </c>
      <c r="V20" s="601">
        <f>N20+U20*pallet_extra_weight</f>
        <v>11445</v>
      </c>
      <c r="W20" s="601">
        <v>19</v>
      </c>
      <c r="X20" s="601">
        <f>W20*ACL</f>
        <v>429400</v>
      </c>
      <c r="Y20" s="616">
        <f>MAX(U20/lc_pallets,V20/ACL)</f>
        <v>0.6</v>
      </c>
      <c r="Z20" s="601">
        <f>X20-V20</f>
        <v>417955</v>
      </c>
      <c r="AA20" s="467">
        <f>Z20/$AG$12</f>
        <v>61463.970588235294</v>
      </c>
      <c r="AB20" s="615">
        <f>W20-Y20</f>
        <v>18.399999999999999</v>
      </c>
      <c r="AC20" s="467">
        <f>$AB$20*lc_gallons</f>
        <v>55199.999999999993</v>
      </c>
      <c r="AD20" s="263"/>
      <c r="AE20" s="263"/>
      <c r="AF20" s="690" t="s">
        <v>532</v>
      </c>
      <c r="AG20" s="694" t="s">
        <v>533</v>
      </c>
      <c r="AH20" s="694" t="s">
        <v>534</v>
      </c>
      <c r="AI20" s="694" t="s">
        <v>535</v>
      </c>
      <c r="AJ20" s="694" t="s">
        <v>536</v>
      </c>
      <c r="AK20" s="694" t="s">
        <v>537</v>
      </c>
      <c r="AL20" s="694" t="s">
        <v>538</v>
      </c>
      <c r="AM20" s="694" t="s">
        <v>539</v>
      </c>
      <c r="AN20" s="694" t="s">
        <v>540</v>
      </c>
      <c r="AO20" s="694" t="s">
        <v>541</v>
      </c>
      <c r="AP20" s="694" t="s">
        <v>542</v>
      </c>
      <c r="AQ20" s="263"/>
    </row>
    <row r="21" spans="1:43" x14ac:dyDescent="0.2">
      <c r="A21" s="263"/>
      <c r="B21" s="436" t="s">
        <v>237</v>
      </c>
      <c r="C21" s="481">
        <f t="shared" si="0"/>
        <v>1022</v>
      </c>
      <c r="D21" s="482">
        <f t="shared" si="1"/>
        <v>12362</v>
      </c>
      <c r="E21" s="476">
        <f t="shared" si="2"/>
        <v>0</v>
      </c>
      <c r="F21" s="476">
        <f t="shared" si="3"/>
        <v>0.25</v>
      </c>
      <c r="G21" s="476">
        <f t="shared" si="4"/>
        <v>3</v>
      </c>
      <c r="H21" s="476">
        <f t="shared" si="5"/>
        <v>0</v>
      </c>
      <c r="I21" s="476">
        <f t="shared" si="6"/>
        <v>3.25</v>
      </c>
      <c r="J21" s="477">
        <f t="shared" si="7"/>
        <v>0</v>
      </c>
      <c r="K21" s="263"/>
      <c r="L21" s="454" t="s">
        <v>402</v>
      </c>
      <c r="M21" s="442">
        <f t="shared" si="8"/>
        <v>4119</v>
      </c>
      <c r="N21" s="445">
        <f t="shared" si="9"/>
        <v>56900</v>
      </c>
      <c r="O21" s="443">
        <f t="shared" si="10"/>
        <v>2</v>
      </c>
      <c r="P21" s="448"/>
      <c r="Q21" s="444"/>
      <c r="R21" s="447"/>
      <c r="S21" s="447"/>
      <c r="T21" s="332"/>
      <c r="U21" s="606"/>
      <c r="V21" s="602"/>
      <c r="W21" s="602"/>
      <c r="X21" s="602"/>
      <c r="Y21" s="617"/>
      <c r="Z21" s="608"/>
      <c r="AA21" s="594"/>
      <c r="AB21" s="619"/>
      <c r="AC21" s="594"/>
      <c r="AD21" s="263"/>
      <c r="AE21" s="263"/>
      <c r="AF21" s="392" t="s">
        <v>543</v>
      </c>
      <c r="AG21" s="691">
        <v>18</v>
      </c>
      <c r="AH21" s="689">
        <f>$I$17</f>
        <v>6.25</v>
      </c>
      <c r="AI21" s="688" t="s">
        <v>544</v>
      </c>
      <c r="AJ21" s="689">
        <f>$I$19</f>
        <v>5.25</v>
      </c>
      <c r="AK21" s="688" t="s">
        <v>544</v>
      </c>
      <c r="AL21" s="689">
        <f>$I$21</f>
        <v>3.25</v>
      </c>
      <c r="AM21" s="695" t="s">
        <v>545</v>
      </c>
      <c r="AN21" s="695" t="s">
        <v>545</v>
      </c>
      <c r="AO21" s="695" t="s">
        <v>545</v>
      </c>
      <c r="AP21" s="695" t="s">
        <v>545</v>
      </c>
      <c r="AQ21" s="263"/>
    </row>
    <row r="22" spans="1:43" ht="16" thickBot="1" x14ac:dyDescent="0.25">
      <c r="A22" s="263"/>
      <c r="B22" s="439" t="s">
        <v>145</v>
      </c>
      <c r="C22" s="480">
        <f t="shared" si="0"/>
        <v>2953</v>
      </c>
      <c r="D22" s="446">
        <f t="shared" si="1"/>
        <v>37553</v>
      </c>
      <c r="E22" s="474">
        <f t="shared" si="2"/>
        <v>0</v>
      </c>
      <c r="F22" s="474">
        <f t="shared" si="3"/>
        <v>0</v>
      </c>
      <c r="G22" s="474">
        <f t="shared" si="4"/>
        <v>0</v>
      </c>
      <c r="H22" s="474">
        <f t="shared" si="5"/>
        <v>0</v>
      </c>
      <c r="I22" s="474">
        <f t="shared" si="6"/>
        <v>0</v>
      </c>
      <c r="J22" s="475">
        <f t="shared" si="7"/>
        <v>8.75</v>
      </c>
      <c r="K22" s="263"/>
      <c r="L22" s="454" t="s">
        <v>403</v>
      </c>
      <c r="M22" s="442">
        <f t="shared" si="8"/>
        <v>0</v>
      </c>
      <c r="N22" s="445">
        <f t="shared" si="9"/>
        <v>0</v>
      </c>
      <c r="O22" s="443">
        <f t="shared" si="10"/>
        <v>0</v>
      </c>
      <c r="P22" s="448"/>
      <c r="Q22" s="444"/>
      <c r="R22" s="447"/>
      <c r="S22" s="447"/>
      <c r="T22" s="332"/>
      <c r="U22" s="606"/>
      <c r="V22" s="602"/>
      <c r="W22" s="602"/>
      <c r="X22" s="602"/>
      <c r="Y22" s="617"/>
      <c r="Z22" s="608"/>
      <c r="AA22" s="594"/>
      <c r="AB22" s="619"/>
      <c r="AC22" s="594"/>
      <c r="AD22" s="263"/>
      <c r="AE22" s="263"/>
      <c r="AF22" s="392" t="s">
        <v>546</v>
      </c>
      <c r="AG22" s="688" t="s">
        <v>545</v>
      </c>
      <c r="AH22" s="688" t="s">
        <v>45</v>
      </c>
      <c r="AI22" s="691">
        <v>17</v>
      </c>
      <c r="AJ22" s="320" t="s">
        <v>547</v>
      </c>
      <c r="AK22" s="691">
        <v>50</v>
      </c>
      <c r="AL22" s="320" t="s">
        <v>547</v>
      </c>
      <c r="AM22" s="700">
        <v>17</v>
      </c>
      <c r="AN22" s="695" t="s">
        <v>45</v>
      </c>
      <c r="AO22" s="700">
        <v>50</v>
      </c>
      <c r="AP22" s="695" t="s">
        <v>548</v>
      </c>
      <c r="AQ22" s="263"/>
    </row>
    <row r="23" spans="1:43" ht="16" thickBot="1" x14ac:dyDescent="0.25">
      <c r="A23" s="263"/>
      <c r="B23" s="440" t="s">
        <v>549</v>
      </c>
      <c r="C23" s="481">
        <f t="shared" si="0"/>
        <v>0</v>
      </c>
      <c r="D23" s="482">
        <f t="shared" si="1"/>
        <v>0</v>
      </c>
      <c r="E23" s="476">
        <f t="shared" si="2"/>
        <v>0</v>
      </c>
      <c r="F23" s="476">
        <f t="shared" si="3"/>
        <v>0</v>
      </c>
      <c r="G23" s="476">
        <f t="shared" si="4"/>
        <v>0</v>
      </c>
      <c r="H23" s="476">
        <f t="shared" si="5"/>
        <v>0</v>
      </c>
      <c r="I23" s="476">
        <f t="shared" si="6"/>
        <v>0</v>
      </c>
      <c r="J23" s="477">
        <f t="shared" si="7"/>
        <v>0</v>
      </c>
      <c r="K23" s="263"/>
      <c r="L23" s="455" t="s">
        <v>404</v>
      </c>
      <c r="M23" s="450">
        <f t="shared" si="8"/>
        <v>0</v>
      </c>
      <c r="N23" s="451">
        <f t="shared" si="9"/>
        <v>0</v>
      </c>
      <c r="O23" s="452">
        <f t="shared" si="10"/>
        <v>0</v>
      </c>
      <c r="P23" s="453"/>
      <c r="Q23" s="444"/>
      <c r="R23" s="449"/>
      <c r="S23" s="449"/>
      <c r="T23" s="333"/>
      <c r="U23" s="607"/>
      <c r="V23" s="603"/>
      <c r="W23" s="603"/>
      <c r="X23" s="603"/>
      <c r="Y23" s="618"/>
      <c r="Z23" s="609"/>
      <c r="AA23" s="596"/>
      <c r="AB23" s="620"/>
      <c r="AC23" s="596"/>
      <c r="AD23" s="263"/>
      <c r="AE23" s="263"/>
      <c r="AF23" s="392" t="s">
        <v>550</v>
      </c>
      <c r="AG23" s="829" t="s">
        <v>551</v>
      </c>
      <c r="AH23" s="696" t="str">
        <f>$Y$16*$AG$18&amp;"/"&amp;$Y$16&amp;"-"&amp;$V$16</f>
        <v>0/0-0</v>
      </c>
      <c r="AI23" s="829" t="s">
        <v>552</v>
      </c>
      <c r="AJ23" s="696" t="str">
        <f>$Y$20*$AG$18&amp;"/"&amp;$Y$20&amp;"-"&amp;TEXT($V$20,"#,###")</f>
        <v>3.54/0.6-11,445</v>
      </c>
      <c r="AK23" s="829" t="s">
        <v>553</v>
      </c>
      <c r="AL23" s="697" t="str">
        <f>$Y$24*$AG$18&amp;"/"&amp;$Y$24&amp;"-"&amp;TEXT($V$24,"#,###")</f>
        <v>11.8/2-43,103</v>
      </c>
      <c r="AM23" s="831" t="s">
        <v>554</v>
      </c>
      <c r="AN23" s="697" t="str">
        <f>$Y$28*$AG$18&amp;"/"&amp;$Y$28&amp;"-"&amp;TEXT($V$28,"#,###")</f>
        <v>21.24/3.6-73,939</v>
      </c>
      <c r="AO23" s="831" t="s">
        <v>555</v>
      </c>
      <c r="AP23" s="695" t="s">
        <v>548</v>
      </c>
      <c r="AQ23" s="263"/>
    </row>
    <row r="24" spans="1:43" ht="16" thickBot="1" x14ac:dyDescent="0.25">
      <c r="A24" s="263"/>
      <c r="B24" s="441" t="s">
        <v>158</v>
      </c>
      <c r="C24" s="478">
        <f t="shared" si="0"/>
        <v>4958</v>
      </c>
      <c r="D24" s="479">
        <f t="shared" si="1"/>
        <v>62549</v>
      </c>
      <c r="E24" s="472">
        <f t="shared" si="2"/>
        <v>0</v>
      </c>
      <c r="F24" s="472">
        <f t="shared" si="3"/>
        <v>0</v>
      </c>
      <c r="G24" s="472">
        <f t="shared" si="4"/>
        <v>0</v>
      </c>
      <c r="H24" s="472">
        <f t="shared" si="5"/>
        <v>0</v>
      </c>
      <c r="I24" s="472">
        <f t="shared" si="6"/>
        <v>0</v>
      </c>
      <c r="J24" s="473">
        <f t="shared" si="7"/>
        <v>16.5625</v>
      </c>
      <c r="K24" s="263"/>
      <c r="L24" s="460" t="s">
        <v>556</v>
      </c>
      <c r="M24" s="461">
        <f t="shared" si="8"/>
        <v>3145</v>
      </c>
      <c r="N24" s="462">
        <f t="shared" si="9"/>
        <v>39553</v>
      </c>
      <c r="O24" s="463">
        <f t="shared" si="10"/>
        <v>0</v>
      </c>
      <c r="P24" s="464">
        <f t="shared" si="11"/>
        <v>9.25</v>
      </c>
      <c r="Q24" s="444"/>
      <c r="R24" s="331" t="s">
        <v>557</v>
      </c>
      <c r="S24" s="331" t="s">
        <v>325</v>
      </c>
      <c r="T24" s="481">
        <f>SUMIFS(quantity, spot_lc,S24)</f>
        <v>20551</v>
      </c>
      <c r="U24" s="605">
        <f>ROUNDUP(P24,0)</f>
        <v>10</v>
      </c>
      <c r="V24" s="601">
        <f>N24+U24*pallet_extra_weight</f>
        <v>43103</v>
      </c>
      <c r="W24" s="601">
        <v>10</v>
      </c>
      <c r="X24" s="601">
        <f>W24*ACL</f>
        <v>226000</v>
      </c>
      <c r="Y24" s="616">
        <f>MAX(U24/lc_pallets,V24/ACL)</f>
        <v>2</v>
      </c>
      <c r="Z24" s="601">
        <f>X24-V24</f>
        <v>182897</v>
      </c>
      <c r="AA24" s="467">
        <f>MIN(fuel_total_gallons-SUM(AA16:AA23),Z24/$AG$12)</f>
        <v>26896.617647058825</v>
      </c>
      <c r="AB24" s="615">
        <f>W24-Y24</f>
        <v>8</v>
      </c>
      <c r="AC24" s="467">
        <f>$AB$24*lc_gallons</f>
        <v>24000</v>
      </c>
      <c r="AD24" s="263"/>
      <c r="AE24" s="263"/>
      <c r="AF24" s="392" t="s">
        <v>558</v>
      </c>
      <c r="AG24" s="830"/>
      <c r="AH24" s="696" t="str">
        <f>$AB$16*$AG$18&amp;"/"&amp;$AB$16&amp;"-"&amp;TEXT(lc_gallons*$AB$16,"#,###")</f>
        <v>11.8/2-6,000</v>
      </c>
      <c r="AI24" s="830"/>
      <c r="AJ24" s="696" t="str">
        <f>$AB420*$AG$18&amp;"/"&amp;$AB$20&amp;"-"&amp;TEXT(lc_gallons*$AB$20,"#,###")</f>
        <v>0/18.4-55,200</v>
      </c>
      <c r="AK24" s="830"/>
      <c r="AL24" s="697" t="str">
        <f>$AB$24*$AG$18&amp;"/"&amp;$AB$24&amp;"-"&amp;TEXT(lc_gallons*$AB$24,"#,###")</f>
        <v>47.2/8-24,000</v>
      </c>
      <c r="AM24" s="832"/>
      <c r="AN24" s="697" t="str">
        <f>$AB$28*$AG$18&amp;"/"&amp;$AB$28&amp;"-"&amp;TEXT(lc_gallons*$AB$28,"#,###")</f>
        <v>20.06/3.4-10,200</v>
      </c>
      <c r="AO24" s="832"/>
      <c r="AP24" s="695" t="s">
        <v>548</v>
      </c>
      <c r="AQ24" s="263"/>
    </row>
    <row r="25" spans="1:43" ht="16" thickBot="1" x14ac:dyDescent="0.25">
      <c r="A25" s="263"/>
      <c r="B25" s="469" t="s">
        <v>438</v>
      </c>
      <c r="C25" s="500">
        <f>SUM(C15:C24)</f>
        <v>40483</v>
      </c>
      <c r="D25" s="501">
        <f>SUM(D15:D24)</f>
        <v>528436</v>
      </c>
      <c r="E25" s="587">
        <f t="shared" ref="E25:I25" si="12">SUM(E15:E24)</f>
        <v>0</v>
      </c>
      <c r="F25" s="587">
        <f t="shared" si="12"/>
        <v>0.25</v>
      </c>
      <c r="G25" s="587">
        <f t="shared" si="12"/>
        <v>13.75</v>
      </c>
      <c r="H25" s="587">
        <f t="shared" si="12"/>
        <v>0.75</v>
      </c>
      <c r="I25" s="587">
        <f t="shared" si="12"/>
        <v>14.75</v>
      </c>
      <c r="J25" s="588">
        <f>SUM(J15:J24)</f>
        <v>26.5825</v>
      </c>
      <c r="K25" s="263"/>
      <c r="L25" s="454" t="s">
        <v>405</v>
      </c>
      <c r="M25" s="442">
        <f t="shared" si="8"/>
        <v>5055</v>
      </c>
      <c r="N25" s="445">
        <f t="shared" si="9"/>
        <v>56143</v>
      </c>
      <c r="O25" s="443">
        <f t="shared" si="10"/>
        <v>2.9</v>
      </c>
      <c r="P25" s="448"/>
      <c r="Q25" s="444"/>
      <c r="R25" s="447"/>
      <c r="S25" s="447"/>
      <c r="T25" s="332"/>
      <c r="U25" s="606"/>
      <c r="V25" s="602"/>
      <c r="W25" s="602"/>
      <c r="X25" s="602"/>
      <c r="Y25" s="617"/>
      <c r="Z25" s="608"/>
      <c r="AA25" s="594"/>
      <c r="AB25" s="619"/>
      <c r="AC25" s="594"/>
      <c r="AD25" s="263"/>
      <c r="AE25" s="263"/>
      <c r="AF25" s="392" t="s">
        <v>559</v>
      </c>
      <c r="AG25" s="688" t="s">
        <v>560</v>
      </c>
      <c r="AH25" s="698" t="str">
        <f>$O$17&amp;"/"&amp;TEXT($N$17,"#,###")</f>
        <v>3/21,601</v>
      </c>
      <c r="AI25" s="688" t="s">
        <v>560</v>
      </c>
      <c r="AJ25" s="698" t="str">
        <f>$O$21&amp;"/"&amp;TEXT($N$21,"#,###")</f>
        <v>2/56,900</v>
      </c>
      <c r="AK25" s="688" t="s">
        <v>560</v>
      </c>
      <c r="AL25" s="699" t="str">
        <f>$O$25&amp;"/"&amp;TEXT($N$25,"#,###")</f>
        <v>2.9/56,143</v>
      </c>
      <c r="AM25" s="695" t="s">
        <v>560</v>
      </c>
      <c r="AN25" s="699" t="str">
        <f>$O$29&amp;"/"&amp;TEXT($N$29,"#,###")</f>
        <v>2.5/110,362</v>
      </c>
      <c r="AO25" s="695" t="s">
        <v>560</v>
      </c>
      <c r="AP25" s="695" t="s">
        <v>548</v>
      </c>
      <c r="AQ25" s="263"/>
    </row>
    <row r="26" spans="1:43" x14ac:dyDescent="0.2">
      <c r="A26" s="263"/>
      <c r="B26" s="263"/>
      <c r="C26" s="263"/>
      <c r="D26" s="263"/>
      <c r="E26" s="263"/>
      <c r="F26" s="263"/>
      <c r="G26" s="263"/>
      <c r="H26" s="263"/>
      <c r="I26" s="263"/>
      <c r="J26" s="263"/>
      <c r="K26" s="263"/>
      <c r="L26" s="454" t="s">
        <v>406</v>
      </c>
      <c r="M26" s="442">
        <f t="shared" si="8"/>
        <v>1120</v>
      </c>
      <c r="N26" s="445">
        <f t="shared" si="9"/>
        <v>16302</v>
      </c>
      <c r="O26" s="443">
        <f t="shared" si="10"/>
        <v>0.44999999999999996</v>
      </c>
      <c r="P26" s="448"/>
      <c r="Q26" s="444"/>
      <c r="R26" s="447"/>
      <c r="S26" s="447"/>
      <c r="T26" s="332"/>
      <c r="U26" s="606"/>
      <c r="V26" s="602"/>
      <c r="W26" s="602"/>
      <c r="X26" s="602"/>
      <c r="Y26" s="617"/>
      <c r="Z26" s="608"/>
      <c r="AA26" s="594"/>
      <c r="AB26" s="619"/>
      <c r="AC26" s="594"/>
      <c r="AD26" s="263"/>
      <c r="AE26" s="263"/>
      <c r="AF26" s="392" t="s">
        <v>561</v>
      </c>
      <c r="AG26" s="688" t="s">
        <v>560</v>
      </c>
      <c r="AH26" s="698" t="str">
        <f>$O$18&amp;"/"&amp;TEXT($N$18,"#,###")</f>
        <v>3/109,405</v>
      </c>
      <c r="AI26" s="688" t="s">
        <v>560</v>
      </c>
      <c r="AJ26" s="698" t="str">
        <f>$O$22&amp;"/"&amp;$N$22</f>
        <v>0/0</v>
      </c>
      <c r="AK26" s="688" t="s">
        <v>560</v>
      </c>
      <c r="AL26" s="699" t="str">
        <f>$O$26&amp;"/"&amp;TEXT($N$26,"#,###")</f>
        <v>0.45/16,302</v>
      </c>
      <c r="AM26" s="695" t="s">
        <v>560</v>
      </c>
      <c r="AN26" s="699" t="str">
        <f>O30&amp;"/"&amp;N30</f>
        <v>0/0</v>
      </c>
      <c r="AO26" s="695" t="s">
        <v>560</v>
      </c>
      <c r="AP26" s="695" t="s">
        <v>548</v>
      </c>
      <c r="AQ26" s="263"/>
    </row>
    <row r="27" spans="1:43" ht="16" thickBot="1" x14ac:dyDescent="0.25">
      <c r="A27" s="263"/>
      <c r="B27" s="263"/>
      <c r="C27" s="265"/>
      <c r="D27" s="266"/>
      <c r="E27" s="267"/>
      <c r="F27" s="266"/>
      <c r="G27" s="263"/>
      <c r="H27" s="263"/>
      <c r="I27" s="263"/>
      <c r="J27" s="263"/>
      <c r="K27" s="263"/>
      <c r="L27" s="455" t="s">
        <v>407</v>
      </c>
      <c r="M27" s="450">
        <f t="shared" si="8"/>
        <v>0</v>
      </c>
      <c r="N27" s="451">
        <f t="shared" si="9"/>
        <v>0</v>
      </c>
      <c r="O27" s="452">
        <f t="shared" si="10"/>
        <v>0</v>
      </c>
      <c r="P27" s="453"/>
      <c r="Q27" s="444"/>
      <c r="R27" s="332"/>
      <c r="S27" s="332"/>
      <c r="T27" s="332"/>
      <c r="U27" s="606"/>
      <c r="V27" s="603"/>
      <c r="W27" s="603"/>
      <c r="X27" s="603"/>
      <c r="Y27" s="618"/>
      <c r="Z27" s="609"/>
      <c r="AA27" s="596"/>
      <c r="AB27" s="620"/>
      <c r="AC27" s="596"/>
      <c r="AD27" s="263"/>
      <c r="AE27" s="263"/>
      <c r="AF27" s="392" t="s">
        <v>562</v>
      </c>
      <c r="AG27" s="688" t="s">
        <v>560</v>
      </c>
      <c r="AH27" s="698" t="str">
        <f>$O$19&amp;"/"&amp;TEXT($N$19,"#,###")</f>
        <v>1/28,000</v>
      </c>
      <c r="AI27" s="688" t="s">
        <v>560</v>
      </c>
      <c r="AJ27" s="698" t="str">
        <f>$O$23&amp;"/"&amp;$N$23</f>
        <v>0/0</v>
      </c>
      <c r="AK27" s="688" t="s">
        <v>560</v>
      </c>
      <c r="AL27" s="699" t="str">
        <f>$O$27&amp;"/"&amp;$N$27</f>
        <v>0/0</v>
      </c>
      <c r="AM27" s="695" t="s">
        <v>560</v>
      </c>
      <c r="AN27" s="695" t="s">
        <v>563</v>
      </c>
      <c r="AO27" s="695" t="s">
        <v>560</v>
      </c>
      <c r="AP27" s="695" t="s">
        <v>548</v>
      </c>
      <c r="AQ27" s="263"/>
    </row>
    <row r="28" spans="1:43" x14ac:dyDescent="0.2">
      <c r="A28" s="263"/>
      <c r="B28" s="263" t="s">
        <v>564</v>
      </c>
      <c r="C28" s="264">
        <f>C17+C19+C21+C23</f>
        <v>11196</v>
      </c>
      <c r="D28" s="264">
        <f>D17+D19+D21+D23</f>
        <v>207296</v>
      </c>
      <c r="E28" s="263"/>
      <c r="F28" s="263"/>
      <c r="G28" s="263"/>
      <c r="H28" s="263"/>
      <c r="I28" s="263"/>
      <c r="J28" s="263"/>
      <c r="K28" s="263"/>
      <c r="L28" s="454" t="s">
        <v>565</v>
      </c>
      <c r="M28" s="442">
        <f t="shared" si="8"/>
        <v>5438</v>
      </c>
      <c r="N28" s="445">
        <f t="shared" si="9"/>
        <v>67549</v>
      </c>
      <c r="O28" s="443">
        <f t="shared" si="10"/>
        <v>0</v>
      </c>
      <c r="P28" s="448">
        <f t="shared" si="11"/>
        <v>17.5625</v>
      </c>
      <c r="Q28" s="444"/>
      <c r="R28" s="331" t="s">
        <v>566</v>
      </c>
      <c r="S28" s="331" t="s">
        <v>330</v>
      </c>
      <c r="T28" s="481">
        <f>SUMIFS(quantity, spot_lc,S28)</f>
        <v>71167</v>
      </c>
      <c r="U28" s="605">
        <f>ROUNDUP(P28,0)</f>
        <v>18</v>
      </c>
      <c r="V28" s="601">
        <f>N28+U28*pallet_extra_weight</f>
        <v>73939</v>
      </c>
      <c r="W28" s="601">
        <v>7</v>
      </c>
      <c r="X28" s="601">
        <f>W28*ACL</f>
        <v>158200</v>
      </c>
      <c r="Y28" s="616">
        <f>MAX(U28/lc_pallets,V28/ACL)</f>
        <v>3.6</v>
      </c>
      <c r="Z28" s="601">
        <f>X28-V28</f>
        <v>84261</v>
      </c>
      <c r="AA28" s="467">
        <f>MIN(fuel_total_gallons-SUM(AA16:AA27),Z28/$AG$12)</f>
        <v>353.35294117647572</v>
      </c>
      <c r="AB28" s="615">
        <f>W28-Y28</f>
        <v>3.4</v>
      </c>
      <c r="AC28" s="467">
        <f>MIN(fuel_total_gallons-SUM($AC$16:$AC$27),$AB$28*lc_gallons)</f>
        <v>10161</v>
      </c>
      <c r="AD28" s="263"/>
      <c r="AE28" s="263"/>
      <c r="AF28" s="613" t="s">
        <v>567</v>
      </c>
      <c r="AG28" s="695">
        <v>0</v>
      </c>
      <c r="AH28" s="700">
        <v>0</v>
      </c>
      <c r="AI28" s="695">
        <v>11</v>
      </c>
      <c r="AJ28" s="695">
        <v>11</v>
      </c>
      <c r="AK28" s="695">
        <v>21</v>
      </c>
      <c r="AL28" s="695">
        <v>21</v>
      </c>
      <c r="AM28" s="695">
        <v>46</v>
      </c>
      <c r="AN28" s="695">
        <v>46</v>
      </c>
      <c r="AO28" s="695">
        <v>4</v>
      </c>
      <c r="AP28" s="695" t="s">
        <v>548</v>
      </c>
      <c r="AQ28" s="263"/>
    </row>
    <row r="29" spans="1:43" x14ac:dyDescent="0.2">
      <c r="A29" s="263"/>
      <c r="B29" s="263" t="s">
        <v>568</v>
      </c>
      <c r="C29" s="264">
        <f>C18+C20+C22+C24</f>
        <v>8041</v>
      </c>
      <c r="D29" s="264">
        <f>D18+D20+D22+D24</f>
        <v>103112</v>
      </c>
      <c r="E29" s="263"/>
      <c r="F29" s="263"/>
      <c r="G29" s="263"/>
      <c r="H29" s="263"/>
      <c r="I29" s="263"/>
      <c r="J29" s="263"/>
      <c r="K29" s="263"/>
      <c r="L29" s="454" t="s">
        <v>408</v>
      </c>
      <c r="M29" s="442">
        <f t="shared" si="8"/>
        <v>3934</v>
      </c>
      <c r="N29" s="445">
        <f t="shared" si="9"/>
        <v>110362</v>
      </c>
      <c r="O29" s="443">
        <f t="shared" si="10"/>
        <v>2.5</v>
      </c>
      <c r="P29" s="448"/>
      <c r="Q29" s="444"/>
      <c r="R29" s="447"/>
      <c r="S29" s="447"/>
      <c r="T29" s="332"/>
      <c r="U29" s="606"/>
      <c r="V29" s="602"/>
      <c r="W29" s="602"/>
      <c r="X29" s="602"/>
      <c r="Y29" s="617"/>
      <c r="Z29" s="608"/>
      <c r="AA29" s="594"/>
      <c r="AB29" s="619"/>
      <c r="AC29" s="594"/>
      <c r="AD29" s="263"/>
      <c r="AE29" s="263"/>
      <c r="AF29" s="340"/>
      <c r="AG29" s="335"/>
      <c r="AH29" s="335"/>
      <c r="AI29" s="10"/>
      <c r="AJ29" s="10"/>
      <c r="AK29" s="10"/>
      <c r="AL29" s="10"/>
      <c r="AM29" s="10"/>
      <c r="AN29" s="10"/>
      <c r="AO29" s="10"/>
      <c r="AP29" s="10"/>
      <c r="AQ29" s="263"/>
    </row>
    <row r="30" spans="1:43" ht="16" thickBot="1" x14ac:dyDescent="0.25">
      <c r="A30" s="263"/>
      <c r="B30" s="263"/>
      <c r="C30" s="263"/>
      <c r="D30" s="263"/>
      <c r="E30" s="263"/>
      <c r="F30" s="263"/>
      <c r="G30" s="263"/>
      <c r="H30" s="263"/>
      <c r="I30" s="263"/>
      <c r="J30" s="263"/>
      <c r="K30" s="263"/>
      <c r="L30" s="454" t="s">
        <v>409</v>
      </c>
      <c r="M30" s="442">
        <f t="shared" si="8"/>
        <v>0</v>
      </c>
      <c r="N30" s="445">
        <f t="shared" si="9"/>
        <v>0</v>
      </c>
      <c r="O30" s="443">
        <f t="shared" si="10"/>
        <v>0</v>
      </c>
      <c r="P30" s="448"/>
      <c r="Q30" s="444"/>
      <c r="R30" s="332"/>
      <c r="S30" s="332"/>
      <c r="T30" s="332"/>
      <c r="U30" s="606"/>
      <c r="V30" s="602"/>
      <c r="W30" s="602"/>
      <c r="X30" s="602"/>
      <c r="Y30" s="617"/>
      <c r="Z30" s="608"/>
      <c r="AA30" s="594"/>
      <c r="AB30" s="619"/>
      <c r="AC30" s="594"/>
      <c r="AD30" s="263"/>
      <c r="AE30" s="263"/>
      <c r="AF30" s="706" t="s">
        <v>569</v>
      </c>
      <c r="AG30" s="335"/>
      <c r="AH30" s="335"/>
      <c r="AI30" s="10"/>
      <c r="AJ30" s="10"/>
      <c r="AK30" s="10"/>
      <c r="AL30" s="10"/>
      <c r="AM30" s="10"/>
      <c r="AN30" s="10"/>
      <c r="AO30" s="10"/>
      <c r="AP30" s="10"/>
      <c r="AQ30" s="263"/>
    </row>
    <row r="31" spans="1:43" ht="16" thickBot="1" x14ac:dyDescent="0.25">
      <c r="A31" s="263"/>
      <c r="B31" s="263"/>
      <c r="C31" s="264"/>
      <c r="D31" s="263"/>
      <c r="E31" s="263"/>
      <c r="F31" s="263"/>
      <c r="G31" s="263"/>
      <c r="H31" s="263"/>
      <c r="I31" s="263"/>
      <c r="J31" s="263"/>
      <c r="K31" s="263"/>
      <c r="L31" s="455" t="s">
        <v>570</v>
      </c>
      <c r="M31" s="450">
        <f t="shared" si="8"/>
        <v>0</v>
      </c>
      <c r="N31" s="451">
        <f t="shared" si="9"/>
        <v>0</v>
      </c>
      <c r="O31" s="452">
        <f t="shared" si="10"/>
        <v>0</v>
      </c>
      <c r="P31" s="453"/>
      <c r="Q31" s="444"/>
      <c r="R31" s="333"/>
      <c r="S31" s="333"/>
      <c r="T31" s="333"/>
      <c r="U31" s="603"/>
      <c r="V31" s="603"/>
      <c r="W31" s="603"/>
      <c r="X31" s="603"/>
      <c r="Y31" s="618"/>
      <c r="Z31" s="609"/>
      <c r="AA31" s="596"/>
      <c r="AB31" s="620"/>
      <c r="AC31" s="596"/>
      <c r="AD31" s="263"/>
      <c r="AE31" s="263"/>
      <c r="AF31" s="733" t="s">
        <v>532</v>
      </c>
      <c r="AG31" s="734" t="s">
        <v>533</v>
      </c>
      <c r="AH31" s="734" t="s">
        <v>534</v>
      </c>
      <c r="AI31" s="734" t="s">
        <v>535</v>
      </c>
      <c r="AJ31" s="734" t="s">
        <v>536</v>
      </c>
      <c r="AK31" s="734" t="s">
        <v>537</v>
      </c>
      <c r="AL31" s="734" t="s">
        <v>538</v>
      </c>
      <c r="AM31" s="734" t="s">
        <v>539</v>
      </c>
      <c r="AN31" s="734" t="s">
        <v>540</v>
      </c>
      <c r="AO31" s="734" t="s">
        <v>541</v>
      </c>
      <c r="AP31" s="735" t="s">
        <v>542</v>
      </c>
      <c r="AQ31" s="263"/>
    </row>
    <row r="32" spans="1:43" ht="16" thickBot="1" x14ac:dyDescent="0.25">
      <c r="A32" s="263"/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469" t="s">
        <v>438</v>
      </c>
      <c r="M32" s="470">
        <f>SUM(M15:M31)</f>
        <v>40483</v>
      </c>
      <c r="N32" s="471">
        <f>SUM(N15:N31)</f>
        <v>528436</v>
      </c>
      <c r="O32" s="589">
        <f>SUM(O15:O31)</f>
        <v>14.85</v>
      </c>
      <c r="P32" s="590">
        <f>SUM(P15:P31)</f>
        <v>28.962499999999999</v>
      </c>
      <c r="Q32" s="444"/>
      <c r="R32" s="504" t="s">
        <v>438</v>
      </c>
      <c r="S32" s="504" t="s">
        <v>438</v>
      </c>
      <c r="T32" s="505">
        <f>SUM(T16:T28)</f>
        <v>95361</v>
      </c>
      <c r="U32" s="595">
        <f>SUM(U16:U31)</f>
        <v>31</v>
      </c>
      <c r="V32" s="595">
        <f>SUM(V16:V28)</f>
        <v>128487</v>
      </c>
      <c r="W32" s="595">
        <f>SUM(W16:W28)</f>
        <v>38</v>
      </c>
      <c r="X32" s="503"/>
      <c r="Y32" s="503">
        <f>SUM(Y16:Y28)</f>
        <v>6.2</v>
      </c>
      <c r="Z32" s="503">
        <f>SUM(Z16:Z28)</f>
        <v>730313</v>
      </c>
      <c r="AA32" s="503">
        <f>SUM(AA16:AA28)</f>
        <v>95361</v>
      </c>
      <c r="AB32" s="503">
        <f>SUM(AB16:AB28)</f>
        <v>31.799999999999997</v>
      </c>
      <c r="AC32" s="503">
        <f>SUM(AC15:AC31)</f>
        <v>95361</v>
      </c>
      <c r="AD32" s="263"/>
      <c r="AE32" s="263"/>
      <c r="AF32" s="715" t="s">
        <v>543</v>
      </c>
      <c r="AG32" s="716">
        <v>18</v>
      </c>
      <c r="AH32" s="717">
        <f>$I$17</f>
        <v>6.25</v>
      </c>
      <c r="AI32" s="718" t="s">
        <v>544</v>
      </c>
      <c r="AJ32" s="717">
        <f>$I$19</f>
        <v>5.25</v>
      </c>
      <c r="AK32" s="718" t="s">
        <v>544</v>
      </c>
      <c r="AL32" s="717">
        <f>$I$21</f>
        <v>3.25</v>
      </c>
      <c r="AM32" s="718" t="s">
        <v>545</v>
      </c>
      <c r="AN32" s="719" t="s">
        <v>545</v>
      </c>
      <c r="AO32" s="718" t="s">
        <v>545</v>
      </c>
      <c r="AP32" s="720" t="s">
        <v>545</v>
      </c>
      <c r="AQ32" s="263"/>
    </row>
    <row r="33" spans="1:43" ht="16" thickBot="1" x14ac:dyDescent="0.25">
      <c r="A33" s="263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337"/>
      <c r="N33" s="468"/>
      <c r="O33" s="337"/>
      <c r="P33" s="337"/>
      <c r="Q33" s="339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721" t="s">
        <v>546</v>
      </c>
      <c r="AG33" s="722" t="s">
        <v>545</v>
      </c>
      <c r="AH33" s="723" t="s">
        <v>45</v>
      </c>
      <c r="AI33" s="724">
        <v>17</v>
      </c>
      <c r="AJ33" s="725" t="s">
        <v>547</v>
      </c>
      <c r="AK33" s="724">
        <v>50</v>
      </c>
      <c r="AL33" s="725" t="s">
        <v>547</v>
      </c>
      <c r="AM33" s="724">
        <v>17</v>
      </c>
      <c r="AN33" s="723" t="s">
        <v>45</v>
      </c>
      <c r="AO33" s="724">
        <v>50</v>
      </c>
      <c r="AP33" s="726" t="s">
        <v>548</v>
      </c>
      <c r="AQ33" s="263"/>
    </row>
    <row r="34" spans="1:43" x14ac:dyDescent="0.2">
      <c r="N34" s="468"/>
      <c r="O34" s="337"/>
      <c r="P34" s="337"/>
      <c r="Q34" s="339"/>
      <c r="R34" s="263"/>
      <c r="S34" s="263"/>
      <c r="T34" s="263"/>
      <c r="U34" s="263"/>
      <c r="V34" s="263"/>
      <c r="W34" s="263"/>
      <c r="X34" s="263"/>
      <c r="AC34" s="263"/>
      <c r="AD34" s="263"/>
      <c r="AE34" s="263"/>
      <c r="AF34" s="715" t="s">
        <v>571</v>
      </c>
      <c r="AG34" s="827" t="s">
        <v>572</v>
      </c>
      <c r="AH34" s="727" t="str">
        <f>$Y$16&amp;"/"&amp;$V$16</f>
        <v>0/0</v>
      </c>
      <c r="AI34" s="827" t="s">
        <v>573</v>
      </c>
      <c r="AJ34" s="727" t="str">
        <f>$Y$20&amp;"/"&amp;TEXT($V$20,"#,###")</f>
        <v>0.6/11,445</v>
      </c>
      <c r="AK34" s="827" t="s">
        <v>574</v>
      </c>
      <c r="AL34" s="727" t="str">
        <f>$Y$24&amp;"/"&amp;TEXT($V$24,"#,###")</f>
        <v>2/43,103</v>
      </c>
      <c r="AM34" s="827" t="s">
        <v>575</v>
      </c>
      <c r="AN34" s="727" t="str">
        <f>$Y$28&amp;"/"&amp;TEXT($V$28,"#,###")</f>
        <v>3.6/73,939</v>
      </c>
      <c r="AO34" s="827" t="s">
        <v>576</v>
      </c>
      <c r="AP34" s="720" t="s">
        <v>548</v>
      </c>
      <c r="AQ34" s="263"/>
    </row>
    <row r="35" spans="1:43" ht="16" thickBot="1" x14ac:dyDescent="0.25">
      <c r="N35" s="358"/>
      <c r="O35" s="338"/>
      <c r="P35" s="337"/>
      <c r="Q35" s="337"/>
      <c r="R35" s="337"/>
      <c r="S35" s="337"/>
      <c r="T35" s="263"/>
      <c r="U35" s="263"/>
      <c r="V35" s="263"/>
      <c r="W35" s="263"/>
      <c r="X35" s="263"/>
      <c r="Y35" s="263"/>
      <c r="Z35" s="263"/>
      <c r="AA35" s="263"/>
      <c r="AB35" s="263"/>
      <c r="AC35" s="263"/>
      <c r="AD35" s="263"/>
      <c r="AE35" s="263"/>
      <c r="AF35" s="721" t="s">
        <v>577</v>
      </c>
      <c r="AG35" s="828"/>
      <c r="AH35" s="728" t="str">
        <f>$AB$16&amp;"/"&amp;TEXT(lc_gallons*$AB$16,"#,###")</f>
        <v>2/6,000</v>
      </c>
      <c r="AI35" s="828"/>
      <c r="AJ35" s="728" t="str">
        <f>$AB$20&amp;"/"&amp;TEXT(lc_gallons*$AB$20,"#,###")</f>
        <v>18.4/55,200</v>
      </c>
      <c r="AK35" s="828"/>
      <c r="AL35" s="728" t="str">
        <f>$AB$24&amp;"/"&amp;TEXT(lc_gallons*$AB$24,"#,###")</f>
        <v>8/24,000</v>
      </c>
      <c r="AM35" s="828"/>
      <c r="AN35" s="728" t="str">
        <f>$AB$28&amp;"/"&amp;TEXT(lc_gallons*$AB$28,"#,###")</f>
        <v>3.4/10,200</v>
      </c>
      <c r="AO35" s="828"/>
      <c r="AP35" s="726" t="s">
        <v>548</v>
      </c>
      <c r="AQ35" s="263"/>
    </row>
    <row r="36" spans="1:43" x14ac:dyDescent="0.2">
      <c r="N36" s="337"/>
      <c r="O36" s="358"/>
      <c r="P36" s="338"/>
      <c r="Q36" s="337"/>
      <c r="R36" s="337"/>
      <c r="S36" s="337"/>
      <c r="T36" s="263"/>
      <c r="U36" s="263"/>
      <c r="V36" s="263"/>
      <c r="W36" s="263"/>
      <c r="X36" s="263"/>
      <c r="Y36" s="263"/>
      <c r="Z36" s="263"/>
      <c r="AA36" s="263"/>
      <c r="AB36" s="263"/>
      <c r="AC36" s="263"/>
      <c r="AD36" s="263"/>
      <c r="AE36" s="263"/>
      <c r="AF36" s="715" t="s">
        <v>578</v>
      </c>
      <c r="AG36" s="718" t="s">
        <v>560</v>
      </c>
      <c r="AH36" s="729" t="str">
        <f>$O$17&amp;"/"&amp;TEXT($N$17,"#,###")</f>
        <v>3/21,601</v>
      </c>
      <c r="AI36" s="718" t="s">
        <v>560</v>
      </c>
      <c r="AJ36" s="729" t="str">
        <f>$O$21&amp;"/"&amp;TEXT($N$21,"#,###")</f>
        <v>2/56,900</v>
      </c>
      <c r="AK36" s="718" t="s">
        <v>560</v>
      </c>
      <c r="AL36" s="729" t="str">
        <f>$O$25&amp;"/"&amp;TEXT($N$25,"#,###")</f>
        <v>2.9/56,143</v>
      </c>
      <c r="AM36" s="718" t="s">
        <v>560</v>
      </c>
      <c r="AN36" s="729" t="str">
        <f>$O$29&amp;"/"&amp;TEXT($N$29,"#,###")</f>
        <v>2.5/110,362</v>
      </c>
      <c r="AO36" s="718" t="s">
        <v>560</v>
      </c>
      <c r="AP36" s="720" t="s">
        <v>548</v>
      </c>
      <c r="AQ36" s="263"/>
    </row>
    <row r="37" spans="1:43" x14ac:dyDescent="0.2">
      <c r="N37" s="337"/>
      <c r="O37" s="468"/>
      <c r="P37" s="337"/>
      <c r="Q37" s="337"/>
      <c r="R37" s="337"/>
      <c r="S37" s="337"/>
      <c r="T37" s="263"/>
      <c r="U37" s="263"/>
      <c r="V37" s="263"/>
      <c r="W37" s="263"/>
      <c r="X37" s="263"/>
      <c r="Y37" s="263"/>
      <c r="Z37" s="263"/>
      <c r="AA37" s="263"/>
      <c r="AB37" s="263"/>
      <c r="AC37" s="263"/>
      <c r="AD37" s="263"/>
      <c r="AE37" s="263"/>
      <c r="AF37" s="730" t="s">
        <v>579</v>
      </c>
      <c r="AG37" s="695" t="s">
        <v>560</v>
      </c>
      <c r="AH37" s="714" t="str">
        <f>$O$18&amp;"/"&amp;TEXT($N$18,"#,###")</f>
        <v>3/109,405</v>
      </c>
      <c r="AI37" s="695" t="s">
        <v>560</v>
      </c>
      <c r="AJ37" s="714" t="str">
        <f>$O$22&amp;"/"&amp;$N$22</f>
        <v>0/0</v>
      </c>
      <c r="AK37" s="695" t="s">
        <v>560</v>
      </c>
      <c r="AL37" s="714" t="str">
        <f>$O$26&amp;"/"&amp;TEXT($N$26,"#,###")</f>
        <v>0.45/16,302</v>
      </c>
      <c r="AM37" s="695" t="s">
        <v>560</v>
      </c>
      <c r="AN37" s="714" t="str">
        <f>$O$30&amp;"/"&amp;$N$30</f>
        <v>0/0</v>
      </c>
      <c r="AO37" s="695" t="s">
        <v>560</v>
      </c>
      <c r="AP37" s="731" t="s">
        <v>548</v>
      </c>
      <c r="AQ37" s="263"/>
    </row>
    <row r="38" spans="1:43" ht="16" thickBot="1" x14ac:dyDescent="0.25">
      <c r="N38" s="337"/>
      <c r="O38" s="468"/>
      <c r="P38" s="337"/>
      <c r="Q38" s="337"/>
      <c r="R38" s="337"/>
      <c r="S38" s="337"/>
      <c r="T38" s="263"/>
      <c r="U38" s="263"/>
      <c r="V38" s="263"/>
      <c r="W38" s="263"/>
      <c r="X38" s="263"/>
      <c r="Y38" s="263"/>
      <c r="Z38" s="263"/>
      <c r="AA38" s="263"/>
      <c r="AB38" s="263"/>
      <c r="AC38" s="263"/>
      <c r="AD38" s="263"/>
      <c r="AE38" s="263"/>
      <c r="AF38" s="721" t="s">
        <v>580</v>
      </c>
      <c r="AG38" s="722" t="s">
        <v>560</v>
      </c>
      <c r="AH38" s="732" t="str">
        <f>$O$19&amp;"/"&amp;TEXT($N$19,"#,###")</f>
        <v>1/28,000</v>
      </c>
      <c r="AI38" s="722" t="s">
        <v>560</v>
      </c>
      <c r="AJ38" s="732" t="str">
        <f>$O$23&amp;"/"&amp;$N$23</f>
        <v>0/0</v>
      </c>
      <c r="AK38" s="722" t="s">
        <v>560</v>
      </c>
      <c r="AL38" s="732" t="str">
        <f>$O$27&amp;"/"&amp;$N$27</f>
        <v>0/0</v>
      </c>
      <c r="AM38" s="722" t="s">
        <v>560</v>
      </c>
      <c r="AN38" s="723" t="s">
        <v>563</v>
      </c>
      <c r="AO38" s="722" t="s">
        <v>560</v>
      </c>
      <c r="AP38" s="726" t="s">
        <v>548</v>
      </c>
      <c r="AQ38" s="263"/>
    </row>
    <row r="39" spans="1:43" ht="16" thickBot="1" x14ac:dyDescent="0.25">
      <c r="N39" s="337"/>
      <c r="O39" s="468"/>
      <c r="P39" s="337"/>
      <c r="Q39" s="337"/>
      <c r="R39" s="337"/>
      <c r="S39" s="337"/>
      <c r="T39" s="263"/>
      <c r="U39" s="263"/>
      <c r="V39" s="263"/>
      <c r="W39" s="263"/>
      <c r="X39" s="263"/>
      <c r="Y39" s="263"/>
      <c r="Z39" s="263"/>
      <c r="AA39" s="263"/>
      <c r="AB39" s="263"/>
      <c r="AC39" s="263"/>
      <c r="AD39" s="263"/>
      <c r="AE39" s="263"/>
      <c r="AF39" s="736" t="s">
        <v>567</v>
      </c>
      <c r="AG39" s="737">
        <v>0</v>
      </c>
      <c r="AH39" s="738">
        <v>0</v>
      </c>
      <c r="AI39" s="737">
        <v>11</v>
      </c>
      <c r="AJ39" s="739">
        <v>11</v>
      </c>
      <c r="AK39" s="737">
        <v>21</v>
      </c>
      <c r="AL39" s="739">
        <v>21</v>
      </c>
      <c r="AM39" s="737">
        <v>46</v>
      </c>
      <c r="AN39" s="739">
        <v>46</v>
      </c>
      <c r="AO39" s="737">
        <v>4</v>
      </c>
      <c r="AP39" s="740" t="s">
        <v>548</v>
      </c>
      <c r="AQ39" s="263"/>
    </row>
    <row r="40" spans="1:43" x14ac:dyDescent="0.2">
      <c r="N40" s="337"/>
      <c r="O40" s="468"/>
      <c r="P40" s="337"/>
      <c r="Q40" s="337"/>
      <c r="R40" s="337"/>
      <c r="S40" s="337"/>
      <c r="T40" s="263"/>
      <c r="U40" s="263"/>
      <c r="V40" s="263"/>
      <c r="W40" s="263"/>
      <c r="X40" s="263"/>
      <c r="Y40" s="263"/>
      <c r="Z40" s="263"/>
      <c r="AA40" s="263"/>
      <c r="AB40" s="263"/>
      <c r="AC40" s="263"/>
      <c r="AD40" s="263"/>
      <c r="AE40" s="263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263"/>
    </row>
    <row r="41" spans="1:43" x14ac:dyDescent="0.2">
      <c r="N41" s="337"/>
      <c r="O41" s="468"/>
      <c r="P41" s="337"/>
      <c r="Q41" s="337"/>
      <c r="R41" s="337"/>
      <c r="S41" s="337"/>
      <c r="T41" s="263"/>
      <c r="U41" s="263"/>
      <c r="V41" s="263"/>
      <c r="W41" s="263"/>
      <c r="X41" s="263"/>
      <c r="Y41" s="263"/>
      <c r="Z41" s="263"/>
      <c r="AA41" s="263"/>
      <c r="AB41" s="263"/>
      <c r="AC41" s="263"/>
      <c r="AD41" s="263"/>
      <c r="AE41" s="263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263"/>
    </row>
    <row r="42" spans="1:43" x14ac:dyDescent="0.2">
      <c r="N42" s="337"/>
      <c r="O42" s="468"/>
      <c r="P42" s="337"/>
      <c r="Q42" s="337"/>
      <c r="R42" s="337"/>
      <c r="S42" s="337"/>
      <c r="T42" s="263"/>
      <c r="U42" s="263"/>
      <c r="V42" s="263"/>
      <c r="W42" s="263"/>
      <c r="X42" s="263"/>
      <c r="Y42" s="263"/>
      <c r="Z42" s="263"/>
      <c r="AA42" s="263"/>
      <c r="AB42" s="263"/>
      <c r="AC42" s="263"/>
      <c r="AD42" s="263"/>
      <c r="AE42" s="263"/>
      <c r="AF42" s="10"/>
      <c r="AG42" s="10"/>
      <c r="AH42" s="10"/>
      <c r="AI42" s="10"/>
      <c r="AJ42" s="10"/>
      <c r="AK42" s="10"/>
      <c r="AL42" s="10"/>
    </row>
    <row r="46" spans="1:43" x14ac:dyDescent="0.2">
      <c r="A46" s="263"/>
      <c r="B46" s="263"/>
      <c r="C46" s="263"/>
      <c r="D46" s="263"/>
      <c r="E46" s="263"/>
      <c r="F46" s="263"/>
      <c r="G46" s="263"/>
      <c r="I46" s="263"/>
      <c r="J46" s="263"/>
      <c r="K46" s="263"/>
      <c r="L46" s="263"/>
      <c r="M46" s="263"/>
    </row>
    <row r="47" spans="1:43" x14ac:dyDescent="0.2">
      <c r="A47" s="263"/>
      <c r="B47" s="263"/>
      <c r="C47" s="263"/>
      <c r="E47" s="263"/>
      <c r="G47" s="263"/>
      <c r="H47" s="263"/>
      <c r="I47" s="263"/>
      <c r="J47" s="263"/>
      <c r="K47" s="263"/>
      <c r="L47" s="263"/>
      <c r="M47" s="263"/>
    </row>
    <row r="48" spans="1:43" x14ac:dyDescent="0.2">
      <c r="A48" s="263"/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</row>
  </sheetData>
  <sheetProtection sheet="1" formatCells="0" formatColumns="0" formatRows="0"/>
  <mergeCells count="10">
    <mergeCell ref="AG23:AG24"/>
    <mergeCell ref="AI23:AI24"/>
    <mergeCell ref="AK23:AK24"/>
    <mergeCell ref="AM23:AM24"/>
    <mergeCell ref="AO23:AO24"/>
    <mergeCell ref="AG34:AG35"/>
    <mergeCell ref="AI34:AI35"/>
    <mergeCell ref="AK34:AK35"/>
    <mergeCell ref="AM34:AM35"/>
    <mergeCell ref="AO34:AO3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55D33F-B659-DF4A-98DB-0BB123C0F8D8}">
  <dimension ref="B1:N33"/>
  <sheetViews>
    <sheetView topLeftCell="F1" zoomScale="150" zoomScaleNormal="100" workbookViewId="0">
      <selection activeCell="M4" sqref="M4:N4"/>
    </sheetView>
  </sheetViews>
  <sheetFormatPr baseColWidth="10" defaultColWidth="11.5" defaultRowHeight="15" x14ac:dyDescent="0.2"/>
  <cols>
    <col min="13" max="13" width="14.5" customWidth="1"/>
  </cols>
  <sheetData>
    <row r="1" spans="2:14" ht="17" thickTop="1" thickBot="1" x14ac:dyDescent="0.25">
      <c r="B1" s="309" t="s">
        <v>581</v>
      </c>
      <c r="C1" s="309"/>
      <c r="D1" s="309"/>
      <c r="E1" s="309"/>
      <c r="F1" s="309"/>
      <c r="G1" s="309"/>
      <c r="H1" s="309"/>
      <c r="I1" s="309"/>
      <c r="J1" s="309"/>
    </row>
    <row r="2" spans="2:14" ht="45" x14ac:dyDescent="0.2">
      <c r="B2" s="291" t="s">
        <v>23</v>
      </c>
      <c r="C2" s="291" t="s">
        <v>24</v>
      </c>
      <c r="D2" s="291" t="s">
        <v>25</v>
      </c>
      <c r="E2" s="291" t="s">
        <v>26</v>
      </c>
      <c r="F2" s="291" t="s">
        <v>510</v>
      </c>
      <c r="G2" s="291" t="s">
        <v>511</v>
      </c>
      <c r="H2" s="291" t="s">
        <v>582</v>
      </c>
      <c r="I2" s="291" t="s">
        <v>583</v>
      </c>
      <c r="J2" s="291"/>
      <c r="M2" s="508" t="s">
        <v>584</v>
      </c>
      <c r="N2" s="509">
        <v>355</v>
      </c>
    </row>
    <row r="3" spans="2:14" ht="16" thickBot="1" x14ac:dyDescent="0.25">
      <c r="B3" s="292">
        <f>'Intra Inter Cargo Summary'!E17</f>
        <v>0</v>
      </c>
      <c r="C3" s="292">
        <f>'Intra Inter Cargo Summary'!F17</f>
        <v>0</v>
      </c>
      <c r="D3" s="292">
        <f>'Intra Inter Cargo Summary'!G17</f>
        <v>5.75</v>
      </c>
      <c r="E3" s="292">
        <f>'Intra Inter Cargo Summary'!H17</f>
        <v>0.5</v>
      </c>
      <c r="F3" s="292">
        <f>'Intra Inter Cargo Summary'!I17</f>
        <v>6.25</v>
      </c>
      <c r="G3" s="292">
        <f>'Intra Inter Cargo Summary'!J17+'Intra Inter Cargo Summary'!J18</f>
        <v>0.77</v>
      </c>
      <c r="H3" s="325"/>
      <c r="I3" s="325">
        <f>'Intra Inter Cargo Summary'!D18</f>
        <v>10</v>
      </c>
      <c r="J3" s="293"/>
      <c r="M3" s="509" t="s">
        <v>585</v>
      </c>
      <c r="N3" s="509"/>
    </row>
    <row r="4" spans="2:14" ht="17" thickTop="1" thickBot="1" x14ac:dyDescent="0.25">
      <c r="B4" s="311" t="s">
        <v>586</v>
      </c>
      <c r="C4" s="311"/>
      <c r="D4" s="311"/>
      <c r="E4" s="311"/>
      <c r="F4" s="311"/>
      <c r="G4" s="311"/>
      <c r="H4" s="311"/>
      <c r="I4" s="311"/>
      <c r="J4" s="311"/>
    </row>
    <row r="5" spans="2:14" ht="45" x14ac:dyDescent="0.2">
      <c r="B5" s="294" t="s">
        <v>23</v>
      </c>
      <c r="C5" s="294" t="s">
        <v>24</v>
      </c>
      <c r="D5" s="294" t="s">
        <v>25</v>
      </c>
      <c r="E5" s="294" t="s">
        <v>26</v>
      </c>
      <c r="F5" s="294" t="s">
        <v>510</v>
      </c>
      <c r="G5" s="294" t="s">
        <v>587</v>
      </c>
      <c r="H5" s="294" t="s">
        <v>588</v>
      </c>
      <c r="I5" s="294" t="s">
        <v>589</v>
      </c>
      <c r="J5" s="294" t="s">
        <v>590</v>
      </c>
      <c r="M5" s="507" t="s">
        <v>529</v>
      </c>
      <c r="N5" s="510">
        <v>5.9</v>
      </c>
    </row>
    <row r="6" spans="2:14" ht="16" thickBot="1" x14ac:dyDescent="0.25">
      <c r="B6" s="295" t="s">
        <v>545</v>
      </c>
      <c r="C6" s="295" t="s">
        <v>545</v>
      </c>
      <c r="D6" s="295" t="s">
        <v>545</v>
      </c>
      <c r="E6" s="295" t="s">
        <v>545</v>
      </c>
      <c r="F6" s="295" t="s">
        <v>545</v>
      </c>
      <c r="G6" s="323">
        <f>'Intra Inter Cargo Summary'!P16</f>
        <v>0</v>
      </c>
      <c r="H6" s="324">
        <f>'Intra Inter Cargo Summary'!Y16+'Intra Inter Cargo Summary'!AB16</f>
        <v>2</v>
      </c>
      <c r="I6" s="324">
        <f>H6*$N$5</f>
        <v>11.8</v>
      </c>
      <c r="J6" s="292">
        <f>SUM('Intra Inter Cargo Summary'!O16:O19)</f>
        <v>7</v>
      </c>
    </row>
    <row r="7" spans="2:14" ht="17" thickTop="1" thickBot="1" x14ac:dyDescent="0.25">
      <c r="B7" s="309" t="s">
        <v>591</v>
      </c>
      <c r="C7" s="309"/>
      <c r="D7" s="309"/>
      <c r="E7" s="309"/>
      <c r="F7" s="309"/>
      <c r="G7" s="309"/>
      <c r="H7" s="309"/>
      <c r="I7" s="309"/>
      <c r="J7" s="309"/>
    </row>
    <row r="8" spans="2:14" ht="45" x14ac:dyDescent="0.2">
      <c r="B8" s="291" t="s">
        <v>23</v>
      </c>
      <c r="C8" s="291" t="s">
        <v>24</v>
      </c>
      <c r="D8" s="291" t="s">
        <v>25</v>
      </c>
      <c r="E8" s="291" t="s">
        <v>26</v>
      </c>
      <c r="F8" s="291" t="s">
        <v>510</v>
      </c>
      <c r="G8" s="291" t="s">
        <v>511</v>
      </c>
      <c r="H8" s="291" t="s">
        <v>582</v>
      </c>
      <c r="I8" s="291" t="s">
        <v>583</v>
      </c>
      <c r="J8" s="291"/>
    </row>
    <row r="9" spans="2:14" ht="16" thickBot="1" x14ac:dyDescent="0.25">
      <c r="B9" s="292">
        <f>'Intra Inter Cargo Summary'!E19</f>
        <v>0</v>
      </c>
      <c r="C9" s="292">
        <f>'Intra Inter Cargo Summary'!F19</f>
        <v>0</v>
      </c>
      <c r="D9" s="292">
        <f>'Intra Inter Cargo Summary'!G19</f>
        <v>5</v>
      </c>
      <c r="E9" s="292">
        <f>'Intra Inter Cargo Summary'!H19</f>
        <v>0.25</v>
      </c>
      <c r="F9" s="292">
        <f>'Intra Inter Cargo Summary'!I19</f>
        <v>5.25</v>
      </c>
      <c r="G9" s="292">
        <f>'Intra Inter Cargo Summary'!J19+'Intra Inter Cargo Summary'!J20</f>
        <v>0.5</v>
      </c>
      <c r="H9" s="293"/>
      <c r="I9" s="325">
        <f>'Intra Inter Cargo Summary'!D20</f>
        <v>3000</v>
      </c>
      <c r="J9" s="326"/>
    </row>
    <row r="10" spans="2:14" ht="17" thickTop="1" thickBot="1" x14ac:dyDescent="0.25">
      <c r="B10" s="311" t="s">
        <v>592</v>
      </c>
      <c r="C10" s="311"/>
      <c r="D10" s="311"/>
      <c r="E10" s="311"/>
      <c r="F10" s="311"/>
      <c r="G10" s="311"/>
      <c r="H10" s="311"/>
      <c r="I10" s="311"/>
      <c r="J10" s="311"/>
    </row>
    <row r="11" spans="2:14" ht="45" x14ac:dyDescent="0.2">
      <c r="B11" s="294" t="s">
        <v>23</v>
      </c>
      <c r="C11" s="294" t="s">
        <v>24</v>
      </c>
      <c r="D11" s="294" t="s">
        <v>25</v>
      </c>
      <c r="E11" s="294" t="s">
        <v>26</v>
      </c>
      <c r="F11" s="294" t="s">
        <v>510</v>
      </c>
      <c r="G11" s="294" t="s">
        <v>587</v>
      </c>
      <c r="H11" s="294" t="s">
        <v>588</v>
      </c>
      <c r="I11" s="294" t="s">
        <v>589</v>
      </c>
      <c r="J11" s="294" t="s">
        <v>590</v>
      </c>
    </row>
    <row r="12" spans="2:14" ht="16" thickBot="1" x14ac:dyDescent="0.25">
      <c r="B12" s="295" t="s">
        <v>545</v>
      </c>
      <c r="C12" s="295" t="s">
        <v>545</v>
      </c>
      <c r="D12" s="295" t="s">
        <v>545</v>
      </c>
      <c r="E12" s="295" t="s">
        <v>545</v>
      </c>
      <c r="F12" s="295" t="s">
        <v>545</v>
      </c>
      <c r="G12" s="323">
        <f>'Intra Inter Cargo Summary'!P20</f>
        <v>2.15</v>
      </c>
      <c r="H12" s="324">
        <f>'Intra Inter Cargo Summary'!Y20+'Intra Inter Cargo Summary'!AB20</f>
        <v>19</v>
      </c>
      <c r="I12" s="324">
        <f>H12*$N$5</f>
        <v>112.10000000000001</v>
      </c>
      <c r="J12" s="292">
        <f>SUM('Intra Inter Cargo Summary'!O20:O23)</f>
        <v>2</v>
      </c>
    </row>
    <row r="13" spans="2:14" ht="17" thickTop="1" thickBot="1" x14ac:dyDescent="0.25">
      <c r="B13" s="309" t="s">
        <v>593</v>
      </c>
      <c r="C13" s="309"/>
      <c r="D13" s="309"/>
      <c r="E13" s="309"/>
      <c r="F13" s="309"/>
      <c r="G13" s="309"/>
      <c r="H13" s="309"/>
      <c r="I13" s="309"/>
      <c r="J13" s="309"/>
    </row>
    <row r="14" spans="2:14" ht="45" x14ac:dyDescent="0.2">
      <c r="B14" s="291" t="s">
        <v>23</v>
      </c>
      <c r="C14" s="291" t="s">
        <v>24</v>
      </c>
      <c r="D14" s="291" t="s">
        <v>25</v>
      </c>
      <c r="E14" s="291" t="s">
        <v>26</v>
      </c>
      <c r="F14" s="291" t="s">
        <v>510</v>
      </c>
      <c r="G14" s="291" t="s">
        <v>511</v>
      </c>
      <c r="H14" s="291" t="s">
        <v>582</v>
      </c>
      <c r="I14" s="291" t="s">
        <v>583</v>
      </c>
      <c r="J14" s="291"/>
    </row>
    <row r="15" spans="2:14" ht="16" thickBot="1" x14ac:dyDescent="0.25">
      <c r="B15" s="292">
        <f>'Intra Inter Cargo Summary'!E21</f>
        <v>0</v>
      </c>
      <c r="C15" s="292">
        <f>'Intra Inter Cargo Summary'!F21</f>
        <v>0.25</v>
      </c>
      <c r="D15" s="292">
        <f>'Intra Inter Cargo Summary'!G21</f>
        <v>3</v>
      </c>
      <c r="E15" s="292">
        <f>'Intra Inter Cargo Summary'!H21</f>
        <v>0</v>
      </c>
      <c r="F15" s="292">
        <f>'Intra Inter Cargo Summary'!I21</f>
        <v>3.25</v>
      </c>
      <c r="G15" s="292">
        <f>'Intra Inter Cargo Summary'!J21+'Intra Inter Cargo Summary'!J22</f>
        <v>8.75</v>
      </c>
      <c r="H15" s="325"/>
      <c r="I15" s="325">
        <f>'Intra Inter Cargo Summary'!D22</f>
        <v>37553</v>
      </c>
      <c r="J15" s="293"/>
    </row>
    <row r="16" spans="2:14" ht="17" thickTop="1" thickBot="1" x14ac:dyDescent="0.25">
      <c r="B16" s="311" t="s">
        <v>594</v>
      </c>
      <c r="C16" s="311"/>
      <c r="D16" s="311"/>
      <c r="E16" s="311"/>
      <c r="F16" s="311"/>
      <c r="G16" s="311"/>
      <c r="H16" s="311"/>
      <c r="I16" s="311"/>
      <c r="J16" s="311"/>
    </row>
    <row r="17" spans="2:10" ht="45" x14ac:dyDescent="0.2">
      <c r="B17" s="294" t="s">
        <v>23</v>
      </c>
      <c r="C17" s="294" t="s">
        <v>24</v>
      </c>
      <c r="D17" s="294" t="s">
        <v>25</v>
      </c>
      <c r="E17" s="294" t="s">
        <v>26</v>
      </c>
      <c r="F17" s="294" t="s">
        <v>510</v>
      </c>
      <c r="G17" s="294" t="s">
        <v>587</v>
      </c>
      <c r="H17" s="294" t="s">
        <v>588</v>
      </c>
      <c r="I17" s="294" t="s">
        <v>589</v>
      </c>
      <c r="J17" s="294" t="s">
        <v>590</v>
      </c>
    </row>
    <row r="18" spans="2:10" ht="16" thickBot="1" x14ac:dyDescent="0.25">
      <c r="B18" s="295" t="s">
        <v>545</v>
      </c>
      <c r="C18" s="295" t="s">
        <v>545</v>
      </c>
      <c r="D18" s="295" t="s">
        <v>545</v>
      </c>
      <c r="E18" s="295" t="s">
        <v>545</v>
      </c>
      <c r="F18" s="295" t="s">
        <v>545</v>
      </c>
      <c r="G18" s="323">
        <f>'Intra Inter Cargo Summary'!P24</f>
        <v>9.25</v>
      </c>
      <c r="H18" s="324">
        <f>'Intra Inter Cargo Summary'!Y24+'Intra Inter Cargo Summary'!AB24</f>
        <v>10</v>
      </c>
      <c r="I18" s="324">
        <f>H18*$N$5</f>
        <v>59</v>
      </c>
      <c r="J18" s="292">
        <f>SUM('Intra Inter Cargo Summary'!O24:O27)</f>
        <v>3.3499999999999996</v>
      </c>
    </row>
    <row r="19" spans="2:10" ht="17" thickTop="1" thickBot="1" x14ac:dyDescent="0.25">
      <c r="B19" s="309" t="s">
        <v>595</v>
      </c>
      <c r="C19" s="309"/>
      <c r="D19" s="309"/>
      <c r="E19" s="309"/>
      <c r="F19" s="309"/>
      <c r="G19" s="309"/>
      <c r="H19" s="309"/>
      <c r="I19" s="309"/>
      <c r="J19" s="309"/>
    </row>
    <row r="20" spans="2:10" ht="45" x14ac:dyDescent="0.2">
      <c r="B20" s="291" t="s">
        <v>23</v>
      </c>
      <c r="C20" s="291" t="s">
        <v>24</v>
      </c>
      <c r="D20" s="291" t="s">
        <v>25</v>
      </c>
      <c r="E20" s="291" t="s">
        <v>26</v>
      </c>
      <c r="F20" s="291" t="s">
        <v>510</v>
      </c>
      <c r="G20" s="291" t="s">
        <v>511</v>
      </c>
      <c r="H20" s="291" t="s">
        <v>582</v>
      </c>
      <c r="I20" s="291" t="s">
        <v>583</v>
      </c>
      <c r="J20" s="291"/>
    </row>
    <row r="21" spans="2:10" ht="16" thickBot="1" x14ac:dyDescent="0.25">
      <c r="B21" s="292">
        <f>'Intra Inter Cargo Summary'!E23</f>
        <v>0</v>
      </c>
      <c r="C21" s="292">
        <f>'Intra Inter Cargo Summary'!F23</f>
        <v>0</v>
      </c>
      <c r="D21" s="292">
        <f>'Intra Inter Cargo Summary'!G23</f>
        <v>0</v>
      </c>
      <c r="E21" s="292">
        <f>'Intra Inter Cargo Summary'!H23</f>
        <v>0</v>
      </c>
      <c r="F21" s="292">
        <f>'Intra Inter Cargo Summary'!I23</f>
        <v>0</v>
      </c>
      <c r="G21" s="292">
        <f>'Intra Inter Cargo Summary'!J23+'Intra Inter Cargo Summary'!J24</f>
        <v>16.5625</v>
      </c>
      <c r="H21" s="325"/>
      <c r="I21" s="325">
        <f>'Intra Inter Cargo Summary'!D24</f>
        <v>62549</v>
      </c>
      <c r="J21" s="293"/>
    </row>
    <row r="22" spans="2:10" ht="17" thickTop="1" thickBot="1" x14ac:dyDescent="0.25">
      <c r="B22" s="311" t="s">
        <v>596</v>
      </c>
      <c r="C22" s="311"/>
      <c r="D22" s="311"/>
      <c r="E22" s="311"/>
      <c r="F22" s="311"/>
      <c r="G22" s="311"/>
      <c r="H22" s="311"/>
      <c r="I22" s="311"/>
      <c r="J22" s="311"/>
    </row>
    <row r="23" spans="2:10" ht="45" x14ac:dyDescent="0.2">
      <c r="B23" s="294" t="s">
        <v>23</v>
      </c>
      <c r="C23" s="294" t="s">
        <v>24</v>
      </c>
      <c r="D23" s="294" t="s">
        <v>25</v>
      </c>
      <c r="E23" s="294" t="s">
        <v>26</v>
      </c>
      <c r="F23" s="294" t="s">
        <v>510</v>
      </c>
      <c r="G23" s="294" t="s">
        <v>587</v>
      </c>
      <c r="H23" s="294" t="s">
        <v>588</v>
      </c>
      <c r="I23" s="294" t="s">
        <v>589</v>
      </c>
      <c r="J23" s="294" t="s">
        <v>590</v>
      </c>
    </row>
    <row r="24" spans="2:10" ht="16" thickBot="1" x14ac:dyDescent="0.25">
      <c r="B24" s="295" t="s">
        <v>545</v>
      </c>
      <c r="C24" s="295" t="s">
        <v>545</v>
      </c>
      <c r="D24" s="295" t="s">
        <v>545</v>
      </c>
      <c r="E24" s="295" t="s">
        <v>545</v>
      </c>
      <c r="F24" s="295" t="s">
        <v>545</v>
      </c>
      <c r="G24" s="323">
        <f>'Intra Inter Cargo Summary'!P28</f>
        <v>17.5625</v>
      </c>
      <c r="H24" s="324">
        <f>'Intra Inter Cargo Summary'!Y28+'Intra Inter Cargo Summary'!AB28</f>
        <v>7</v>
      </c>
      <c r="I24" s="324">
        <f>H24*$N$5</f>
        <v>41.300000000000004</v>
      </c>
      <c r="J24" s="292">
        <f>SUM('Intra Inter Cargo Summary'!O28:O31)</f>
        <v>2.5</v>
      </c>
    </row>
    <row r="25" spans="2:10" ht="17" thickTop="1" thickBot="1" x14ac:dyDescent="0.25">
      <c r="B25" s="296"/>
      <c r="C25" s="296"/>
      <c r="D25" s="296"/>
      <c r="E25" s="296"/>
      <c r="F25" s="296"/>
      <c r="G25" s="296"/>
      <c r="H25" s="296"/>
      <c r="I25" s="297"/>
      <c r="J25" s="297"/>
    </row>
    <row r="26" spans="2:10" ht="16" thickBot="1" x14ac:dyDescent="0.25">
      <c r="B26" s="310" t="s">
        <v>597</v>
      </c>
      <c r="C26" s="312"/>
      <c r="D26" s="312"/>
      <c r="E26" s="312"/>
      <c r="F26" s="312"/>
      <c r="G26" s="312"/>
      <c r="H26" s="312"/>
      <c r="I26" s="312"/>
      <c r="J26" s="312"/>
    </row>
    <row r="27" spans="2:10" ht="30" x14ac:dyDescent="0.2">
      <c r="B27" s="298" t="s">
        <v>598</v>
      </c>
      <c r="C27" s="299" t="s">
        <v>599</v>
      </c>
      <c r="D27" s="299" t="s">
        <v>600</v>
      </c>
      <c r="E27" s="299" t="s">
        <v>601</v>
      </c>
      <c r="F27" s="299" t="s">
        <v>602</v>
      </c>
      <c r="G27" s="300" t="s">
        <v>603</v>
      </c>
      <c r="H27" s="291" t="s">
        <v>582</v>
      </c>
      <c r="I27" s="301" t="s">
        <v>583</v>
      </c>
      <c r="J27" s="291"/>
    </row>
    <row r="28" spans="2:10" ht="16" thickBot="1" x14ac:dyDescent="0.25">
      <c r="B28" s="327">
        <f t="shared" ref="B28:G28" si="0">B3+B9+B15+B21</f>
        <v>0</v>
      </c>
      <c r="C28" s="327">
        <f t="shared" si="0"/>
        <v>0.25</v>
      </c>
      <c r="D28" s="327">
        <f t="shared" si="0"/>
        <v>13.75</v>
      </c>
      <c r="E28" s="327">
        <f t="shared" si="0"/>
        <v>0.75</v>
      </c>
      <c r="F28" s="327">
        <f t="shared" si="0"/>
        <v>14.75</v>
      </c>
      <c r="G28" s="327">
        <f t="shared" si="0"/>
        <v>26.5825</v>
      </c>
      <c r="H28" s="325"/>
      <c r="I28" s="328">
        <f>I21+I15+I9+I3</f>
        <v>103112</v>
      </c>
      <c r="J28" s="293"/>
    </row>
    <row r="29" spans="2:10" ht="17" thickTop="1" thickBot="1" x14ac:dyDescent="0.25">
      <c r="B29" s="313" t="s">
        <v>604</v>
      </c>
      <c r="C29" s="314"/>
      <c r="D29" s="314"/>
      <c r="E29" s="314"/>
      <c r="F29" s="314"/>
      <c r="G29" s="314"/>
      <c r="H29" s="314"/>
      <c r="I29" s="314"/>
      <c r="J29" s="314"/>
    </row>
    <row r="30" spans="2:10" ht="30" x14ac:dyDescent="0.2">
      <c r="B30" s="302" t="s">
        <v>598</v>
      </c>
      <c r="C30" s="303" t="s">
        <v>599</v>
      </c>
      <c r="D30" s="303" t="s">
        <v>600</v>
      </c>
      <c r="E30" s="303" t="s">
        <v>601</v>
      </c>
      <c r="F30" s="303" t="s">
        <v>602</v>
      </c>
      <c r="G30" s="303" t="s">
        <v>603</v>
      </c>
      <c r="H30" s="294" t="s">
        <v>605</v>
      </c>
      <c r="I30" s="294" t="s">
        <v>606</v>
      </c>
      <c r="J30" s="294" t="s">
        <v>607</v>
      </c>
    </row>
    <row r="31" spans="2:10" ht="16" thickBot="1" x14ac:dyDescent="0.25">
      <c r="B31" s="304" t="s">
        <v>545</v>
      </c>
      <c r="C31" s="305" t="s">
        <v>545</v>
      </c>
      <c r="D31" s="305" t="s">
        <v>545</v>
      </c>
      <c r="E31" s="305" t="s">
        <v>545</v>
      </c>
      <c r="F31" s="305" t="s">
        <v>545</v>
      </c>
      <c r="G31" s="306">
        <f>G24+G18+G12+G6</f>
        <v>28.962499999999999</v>
      </c>
      <c r="H31" s="307">
        <f>H24+H18+H12+H6</f>
        <v>38</v>
      </c>
      <c r="I31" s="307">
        <f>I24+I18+I12+I6</f>
        <v>224.20000000000005</v>
      </c>
      <c r="J31" s="308">
        <f>J24+J18+J12+J6</f>
        <v>14.85</v>
      </c>
    </row>
    <row r="33" spans="9:9" x14ac:dyDescent="0.2">
      <c r="I33" s="96"/>
    </row>
  </sheetData>
  <sheetProtection sheet="1" objects="1" scenarios="1" formatCells="0" formatColumns="0" formatRows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2BDE2C-3881-4531-9236-EFCB3A12B5C8}">
  <dimension ref="A1:Z26"/>
  <sheetViews>
    <sheetView topLeftCell="A12" workbookViewId="0">
      <selection activeCell="C18" sqref="C18"/>
    </sheetView>
  </sheetViews>
  <sheetFormatPr baseColWidth="10" defaultColWidth="43.5" defaultRowHeight="19" x14ac:dyDescent="0.2"/>
  <cols>
    <col min="1" max="12" width="43.5" style="76"/>
    <col min="13" max="13" width="43.5" style="87"/>
    <col min="14" max="14" width="43.5" style="76"/>
    <col min="15" max="15" width="43.5" style="87"/>
    <col min="16" max="22" width="43.5" style="76"/>
    <col min="23" max="23" width="43.5" style="87"/>
    <col min="24" max="24" width="43.5" style="88"/>
    <col min="25" max="25" width="43.5" style="76"/>
    <col min="26" max="26" width="43.5" style="87"/>
    <col min="27" max="16384" width="43.5" style="76"/>
  </cols>
  <sheetData>
    <row r="1" spans="1:26" ht="21" thickBot="1" x14ac:dyDescent="0.25">
      <c r="A1" s="72" t="s">
        <v>608</v>
      </c>
      <c r="B1" s="72" t="s">
        <v>609</v>
      </c>
      <c r="C1" s="72" t="s">
        <v>610</v>
      </c>
      <c r="D1" s="73" t="s">
        <v>611</v>
      </c>
      <c r="E1" s="73" t="s">
        <v>612</v>
      </c>
      <c r="F1" s="73" t="s">
        <v>613</v>
      </c>
      <c r="G1" s="74" t="s">
        <v>614</v>
      </c>
      <c r="H1" s="74" t="s">
        <v>615</v>
      </c>
      <c r="I1" s="75" t="s">
        <v>468</v>
      </c>
      <c r="M1" s="76"/>
      <c r="O1" s="76"/>
      <c r="W1" s="76"/>
      <c r="X1" s="76"/>
      <c r="Z1" s="76"/>
    </row>
    <row r="2" spans="1:26" ht="20" x14ac:dyDescent="0.2">
      <c r="A2" s="77">
        <v>1.2</v>
      </c>
      <c r="B2" s="71" t="s">
        <v>616</v>
      </c>
      <c r="C2" s="77" t="s">
        <v>617</v>
      </c>
      <c r="D2" s="78" t="s">
        <v>616</v>
      </c>
      <c r="E2" s="71"/>
      <c r="F2" s="71" t="s">
        <v>618</v>
      </c>
      <c r="G2" s="79" t="s">
        <v>56</v>
      </c>
      <c r="H2" s="79">
        <v>1360</v>
      </c>
      <c r="I2" s="80">
        <v>22000</v>
      </c>
      <c r="M2" s="76"/>
      <c r="O2" s="76"/>
      <c r="W2" s="76"/>
      <c r="X2" s="76"/>
      <c r="Z2" s="76"/>
    </row>
    <row r="3" spans="1:26" ht="20" x14ac:dyDescent="0.2">
      <c r="A3" s="82"/>
      <c r="B3" s="83" t="s">
        <v>619</v>
      </c>
      <c r="C3" s="82"/>
      <c r="D3" s="84"/>
      <c r="H3" s="85">
        <f>SUM(H2:H2)</f>
        <v>1360</v>
      </c>
      <c r="I3" s="85">
        <f>SUM(I2:I2)</f>
        <v>22000</v>
      </c>
      <c r="J3" s="86"/>
      <c r="M3" s="76"/>
      <c r="O3" s="76"/>
      <c r="W3" s="76"/>
      <c r="X3" s="76"/>
      <c r="Z3" s="76"/>
    </row>
    <row r="4" spans="1:26" ht="20" thickBot="1" x14ac:dyDescent="0.25">
      <c r="A4" s="597"/>
      <c r="B4" s="597"/>
      <c r="C4" s="597"/>
      <c r="D4" s="597"/>
      <c r="E4" s="597"/>
      <c r="F4" s="597"/>
      <c r="G4" s="597"/>
      <c r="H4" s="597"/>
      <c r="I4" s="598"/>
      <c r="M4" s="76"/>
      <c r="O4" s="76"/>
      <c r="W4" s="76"/>
      <c r="X4" s="76"/>
      <c r="Z4" s="76"/>
    </row>
    <row r="5" spans="1:26" ht="21" thickBot="1" x14ac:dyDescent="0.25">
      <c r="A5" s="72" t="s">
        <v>608</v>
      </c>
      <c r="B5" s="72" t="s">
        <v>609</v>
      </c>
      <c r="C5" s="72" t="s">
        <v>610</v>
      </c>
      <c r="D5" s="73" t="s">
        <v>611</v>
      </c>
      <c r="E5" s="73" t="s">
        <v>612</v>
      </c>
      <c r="F5" s="73" t="s">
        <v>613</v>
      </c>
      <c r="G5" s="74" t="s">
        <v>614</v>
      </c>
      <c r="H5" s="74" t="s">
        <v>615</v>
      </c>
      <c r="I5" s="75" t="s">
        <v>468</v>
      </c>
      <c r="M5" s="76"/>
      <c r="O5" s="76"/>
      <c r="W5" s="76"/>
      <c r="X5" s="76"/>
      <c r="Z5" s="76"/>
    </row>
    <row r="6" spans="1:26" ht="20" x14ac:dyDescent="0.2">
      <c r="A6" s="77">
        <v>1.2</v>
      </c>
      <c r="B6" s="71" t="s">
        <v>620</v>
      </c>
      <c r="C6" s="77" t="s">
        <v>621</v>
      </c>
      <c r="D6" s="78" t="s">
        <v>622</v>
      </c>
      <c r="E6" s="71" t="s">
        <v>623</v>
      </c>
      <c r="F6" s="71" t="s">
        <v>624</v>
      </c>
      <c r="G6" s="79" t="s">
        <v>56</v>
      </c>
      <c r="H6" s="79">
        <v>384</v>
      </c>
      <c r="I6" s="80">
        <v>7500</v>
      </c>
      <c r="M6" s="76"/>
      <c r="O6" s="76"/>
      <c r="W6" s="76"/>
      <c r="X6" s="76"/>
      <c r="Z6" s="76"/>
    </row>
    <row r="7" spans="1:26" ht="20" x14ac:dyDescent="0.2">
      <c r="A7" s="77">
        <v>1.2</v>
      </c>
      <c r="B7" s="77" t="s">
        <v>625</v>
      </c>
      <c r="C7" s="77" t="s">
        <v>621</v>
      </c>
      <c r="D7" s="77" t="s">
        <v>622</v>
      </c>
      <c r="E7" s="77" t="s">
        <v>626</v>
      </c>
      <c r="F7" s="71" t="s">
        <v>624</v>
      </c>
      <c r="G7" s="79" t="s">
        <v>56</v>
      </c>
      <c r="H7" s="79">
        <v>256</v>
      </c>
      <c r="I7" s="81">
        <v>4000</v>
      </c>
      <c r="M7" s="76"/>
      <c r="O7" s="76"/>
      <c r="W7" s="76"/>
      <c r="X7" s="76"/>
      <c r="Z7" s="76"/>
    </row>
    <row r="8" spans="1:26" ht="20" x14ac:dyDescent="0.2">
      <c r="A8" s="82"/>
      <c r="B8" s="83" t="s">
        <v>619</v>
      </c>
      <c r="C8" s="82"/>
      <c r="D8" s="84"/>
      <c r="H8" s="85">
        <f>SUM(H6:H7)</f>
        <v>640</v>
      </c>
      <c r="I8" s="85">
        <f>SUM(I6:I7)</f>
        <v>11500</v>
      </c>
      <c r="J8" s="86"/>
      <c r="M8" s="76"/>
      <c r="O8" s="76"/>
      <c r="W8" s="76"/>
      <c r="X8" s="76"/>
      <c r="Z8" s="76"/>
    </row>
    <row r="9" spans="1:26" ht="20" thickBot="1" x14ac:dyDescent="0.25"/>
    <row r="10" spans="1:26" ht="21" thickBot="1" x14ac:dyDescent="0.25">
      <c r="A10" s="72" t="s">
        <v>608</v>
      </c>
      <c r="B10" s="72" t="s">
        <v>609</v>
      </c>
      <c r="C10" s="72" t="s">
        <v>610</v>
      </c>
      <c r="D10" s="72" t="s">
        <v>611</v>
      </c>
      <c r="E10" s="73" t="s">
        <v>612</v>
      </c>
      <c r="F10" s="73" t="s">
        <v>613</v>
      </c>
      <c r="G10" s="73" t="s">
        <v>614</v>
      </c>
      <c r="H10" s="74" t="s">
        <v>615</v>
      </c>
      <c r="I10" s="74" t="s">
        <v>468</v>
      </c>
    </row>
    <row r="11" spans="1:26" ht="20" x14ac:dyDescent="0.2">
      <c r="A11" s="77">
        <v>1.2</v>
      </c>
      <c r="B11" s="77" t="s">
        <v>620</v>
      </c>
      <c r="C11" s="77" t="s">
        <v>621</v>
      </c>
      <c r="D11" s="77" t="s">
        <v>622</v>
      </c>
      <c r="E11" s="78" t="s">
        <v>623</v>
      </c>
      <c r="F11" s="71" t="s">
        <v>627</v>
      </c>
      <c r="G11" s="71" t="s">
        <v>56</v>
      </c>
      <c r="H11" s="79">
        <v>384</v>
      </c>
      <c r="I11" s="79">
        <v>7200</v>
      </c>
    </row>
    <row r="12" spans="1:26" ht="20" x14ac:dyDescent="0.2">
      <c r="A12" s="77" t="s">
        <v>628</v>
      </c>
      <c r="B12" s="77" t="s">
        <v>625</v>
      </c>
      <c r="C12" s="77" t="s">
        <v>621</v>
      </c>
      <c r="D12" s="77" t="s">
        <v>622</v>
      </c>
      <c r="E12" s="77" t="s">
        <v>626</v>
      </c>
      <c r="F12" s="77" t="s">
        <v>627</v>
      </c>
      <c r="G12" s="71" t="s">
        <v>56</v>
      </c>
      <c r="H12" s="79">
        <v>256</v>
      </c>
      <c r="I12" s="79">
        <v>4000</v>
      </c>
    </row>
    <row r="13" spans="1:26" x14ac:dyDescent="0.2">
      <c r="A13" s="82"/>
      <c r="B13" s="89" t="s">
        <v>619</v>
      </c>
      <c r="C13" s="83"/>
      <c r="D13" s="82"/>
      <c r="E13" s="84"/>
      <c r="H13" s="76">
        <f>SUM(H11:H12)</f>
        <v>640</v>
      </c>
      <c r="I13" s="85">
        <f>SUM(I11:I12)</f>
        <v>11200</v>
      </c>
    </row>
    <row r="15" spans="1:26" ht="20" thickBot="1" x14ac:dyDescent="0.25"/>
    <row r="16" spans="1:26" ht="21" thickBot="1" x14ac:dyDescent="0.25">
      <c r="A16" s="72" t="s">
        <v>608</v>
      </c>
      <c r="B16" s="72" t="s">
        <v>609</v>
      </c>
      <c r="C16" s="72" t="s">
        <v>610</v>
      </c>
      <c r="D16" s="73" t="s">
        <v>611</v>
      </c>
      <c r="E16" s="73" t="s">
        <v>612</v>
      </c>
      <c r="F16" s="73" t="s">
        <v>613</v>
      </c>
      <c r="G16" s="74" t="s">
        <v>614</v>
      </c>
      <c r="H16" s="74" t="s">
        <v>615</v>
      </c>
      <c r="I16" s="75" t="s">
        <v>468</v>
      </c>
    </row>
    <row r="17" spans="1:9" ht="20" x14ac:dyDescent="0.2">
      <c r="A17" s="77">
        <v>1.2</v>
      </c>
      <c r="B17" s="71" t="s">
        <v>629</v>
      </c>
      <c r="C17" s="77" t="s">
        <v>621</v>
      </c>
      <c r="D17" s="71" t="s">
        <v>630</v>
      </c>
      <c r="E17" s="71" t="s">
        <v>631</v>
      </c>
      <c r="F17" s="71" t="s">
        <v>632</v>
      </c>
      <c r="G17" s="90" t="s">
        <v>56</v>
      </c>
      <c r="H17" s="90">
        <v>4585</v>
      </c>
      <c r="I17" s="81">
        <v>62400</v>
      </c>
    </row>
    <row r="18" spans="1:9" ht="20" x14ac:dyDescent="0.2">
      <c r="A18" s="77">
        <v>1.2</v>
      </c>
      <c r="B18" s="71" t="s">
        <v>633</v>
      </c>
      <c r="C18" s="77" t="s">
        <v>621</v>
      </c>
      <c r="D18" s="78" t="s">
        <v>622</v>
      </c>
      <c r="E18" s="71" t="s">
        <v>634</v>
      </c>
      <c r="F18" s="71" t="s">
        <v>632</v>
      </c>
      <c r="G18" s="90" t="s">
        <v>70</v>
      </c>
      <c r="H18" s="79">
        <v>1360</v>
      </c>
      <c r="I18" s="80">
        <v>17000</v>
      </c>
    </row>
    <row r="19" spans="1:9" ht="40" x14ac:dyDescent="0.2">
      <c r="A19" s="71">
        <v>1.5</v>
      </c>
      <c r="B19" s="71" t="s">
        <v>217</v>
      </c>
      <c r="C19" s="71" t="s">
        <v>621</v>
      </c>
      <c r="D19" s="71" t="s">
        <v>635</v>
      </c>
      <c r="E19" s="71" t="s">
        <v>636</v>
      </c>
      <c r="F19" s="93" t="s">
        <v>637</v>
      </c>
      <c r="G19" s="71" t="s">
        <v>70</v>
      </c>
      <c r="H19" s="71">
        <v>203</v>
      </c>
      <c r="I19" s="81">
        <v>3500</v>
      </c>
    </row>
    <row r="20" spans="1:9" ht="40" x14ac:dyDescent="0.2">
      <c r="A20" s="91">
        <v>1.5</v>
      </c>
      <c r="B20" s="71" t="s">
        <v>220</v>
      </c>
      <c r="C20" s="71" t="s">
        <v>621</v>
      </c>
      <c r="D20" s="71" t="s">
        <v>638</v>
      </c>
      <c r="E20" s="91" t="s">
        <v>639</v>
      </c>
      <c r="F20" s="93" t="s">
        <v>637</v>
      </c>
      <c r="G20" s="91" t="s">
        <v>70</v>
      </c>
      <c r="H20" s="91">
        <v>48</v>
      </c>
      <c r="I20" s="91">
        <v>400</v>
      </c>
    </row>
    <row r="21" spans="1:9" ht="20" x14ac:dyDescent="0.2">
      <c r="A21" s="71">
        <v>1.2</v>
      </c>
      <c r="B21" s="91" t="s">
        <v>640</v>
      </c>
      <c r="C21" s="71" t="s">
        <v>621</v>
      </c>
      <c r="D21" s="94" t="s">
        <v>132</v>
      </c>
      <c r="E21" s="71" t="s">
        <v>641</v>
      </c>
      <c r="F21" s="71" t="s">
        <v>632</v>
      </c>
      <c r="G21" s="71" t="s">
        <v>70</v>
      </c>
      <c r="H21" s="71">
        <v>192</v>
      </c>
      <c r="I21" s="81">
        <v>1800</v>
      </c>
    </row>
    <row r="22" spans="1:9" ht="20" x14ac:dyDescent="0.2">
      <c r="A22" s="71" t="s">
        <v>628</v>
      </c>
      <c r="B22" s="71" t="s">
        <v>625</v>
      </c>
      <c r="C22" s="71" t="s">
        <v>621</v>
      </c>
      <c r="D22" s="71" t="s">
        <v>622</v>
      </c>
      <c r="E22" s="71" t="s">
        <v>626</v>
      </c>
      <c r="F22" s="71" t="s">
        <v>632</v>
      </c>
      <c r="G22" s="71" t="s">
        <v>70</v>
      </c>
      <c r="H22" s="71">
        <v>256</v>
      </c>
      <c r="I22" s="81">
        <v>4000</v>
      </c>
    </row>
    <row r="23" spans="1:9" ht="20" x14ac:dyDescent="0.2">
      <c r="A23" s="71">
        <v>1.3</v>
      </c>
      <c r="B23" s="71" t="s">
        <v>642</v>
      </c>
      <c r="C23" s="71" t="s">
        <v>621</v>
      </c>
      <c r="D23" s="71" t="s">
        <v>643</v>
      </c>
      <c r="E23" s="71" t="s">
        <v>644</v>
      </c>
      <c r="F23" s="71"/>
      <c r="G23" s="71" t="s">
        <v>70</v>
      </c>
      <c r="H23" s="71">
        <v>153</v>
      </c>
      <c r="I23" s="81">
        <v>1719</v>
      </c>
    </row>
    <row r="24" spans="1:9" ht="20" x14ac:dyDescent="0.2">
      <c r="A24" s="71">
        <v>1.3</v>
      </c>
      <c r="B24" s="71" t="s">
        <v>645</v>
      </c>
      <c r="C24" s="71" t="s">
        <v>621</v>
      </c>
      <c r="D24" s="71" t="s">
        <v>646</v>
      </c>
      <c r="E24" s="71" t="s">
        <v>647</v>
      </c>
      <c r="F24" s="71"/>
      <c r="G24" s="71" t="s">
        <v>70</v>
      </c>
      <c r="H24" s="71">
        <v>84</v>
      </c>
      <c r="I24" s="81">
        <v>794</v>
      </c>
    </row>
    <row r="25" spans="1:9" ht="20" x14ac:dyDescent="0.2">
      <c r="A25" s="71">
        <v>1.3</v>
      </c>
      <c r="B25" s="71" t="s">
        <v>648</v>
      </c>
      <c r="C25" s="71" t="s">
        <v>621</v>
      </c>
      <c r="D25" s="71" t="s">
        <v>646</v>
      </c>
      <c r="E25" s="71" t="s">
        <v>649</v>
      </c>
      <c r="F25" s="71"/>
      <c r="G25" s="71" t="s">
        <v>70</v>
      </c>
      <c r="H25" s="71">
        <v>117</v>
      </c>
      <c r="I25" s="81">
        <v>1169</v>
      </c>
    </row>
    <row r="26" spans="1:9" ht="20" x14ac:dyDescent="0.2">
      <c r="A26" s="82"/>
      <c r="B26" s="83" t="s">
        <v>619</v>
      </c>
      <c r="D26" s="84"/>
      <c r="H26" s="85">
        <f>SUM(H16:H25)</f>
        <v>6998</v>
      </c>
      <c r="I26" s="86">
        <f>SUM(I16:I25)</f>
        <v>92782</v>
      </c>
    </row>
  </sheetData>
  <sheetProtection sheet="1" objects="1" scenarios="1" formatCells="0" formatColumns="0" formatRows="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ED81C5E7FDBD4C93DBDEEC26165DDE" ma:contentTypeVersion="6" ma:contentTypeDescription="Create a new document." ma:contentTypeScope="" ma:versionID="14ed4a1423baf49ef889a52fb762a3c0">
  <xsd:schema xmlns:xsd="http://www.w3.org/2001/XMLSchema" xmlns:xs="http://www.w3.org/2001/XMLSchema" xmlns:p="http://schemas.microsoft.com/office/2006/metadata/properties" xmlns:ns2="9081a385-c01c-48ac-a838-6ea2c6c9cf0a" xmlns:ns3="c060ed68-af92-4cdd-bcb5-fb4ebbbbf93a" targetNamespace="http://schemas.microsoft.com/office/2006/metadata/properties" ma:root="true" ma:fieldsID="c5001f293368a62a15b58852ef17b187" ns2:_="" ns3:_="">
    <xsd:import namespace="9081a385-c01c-48ac-a838-6ea2c6c9cf0a"/>
    <xsd:import namespace="c060ed68-af92-4cdd-bcb5-fb4ebbbbf9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81a385-c01c-48ac-a838-6ea2c6c9cf0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60ed68-af92-4cdd-bcb5-fb4ebbbbf9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081a385-c01c-48ac-a838-6ea2c6c9cf0a">
      <UserInfo>
        <DisplayName>Terry Benson</DisplayName>
        <AccountId>15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E645C3-53AF-48D3-9945-4C5C2D821B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81a385-c01c-48ac-a838-6ea2c6c9cf0a"/>
    <ds:schemaRef ds:uri="c060ed68-af92-4cdd-bcb5-fb4ebbbbf9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CB03C48-A041-4FF1-8766-5893231B5A1C}">
  <ds:schemaRefs>
    <ds:schemaRef ds:uri="http://purl.org/dc/dcmitype/"/>
    <ds:schemaRef ds:uri="http://purl.org/dc/elements/1.1/"/>
    <ds:schemaRef ds:uri="http://schemas.microsoft.com/office/2006/documentManagement/types"/>
    <ds:schemaRef ds:uri="http://purl.org/dc/terms/"/>
    <ds:schemaRef ds:uri="c060ed68-af92-4cdd-bcb5-fb4ebbbbf93a"/>
    <ds:schemaRef ds:uri="9081a385-c01c-48ac-a838-6ea2c6c9cf0a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63CB383-6A6E-454F-B698-FC773848BF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41</vt:i4>
      </vt:variant>
    </vt:vector>
  </HeadingPairs>
  <TitlesOfParts>
    <vt:vector size="48" baseType="lpstr">
      <vt:lpstr>MASTER INPUT SHEET</vt:lpstr>
      <vt:lpstr>Floats</vt:lpstr>
      <vt:lpstr>Summary tables</vt:lpstr>
      <vt:lpstr>Southbound by Season</vt:lpstr>
      <vt:lpstr>Intra Inter Cargo Summary</vt:lpstr>
      <vt:lpstr>Project Roll Up</vt:lpstr>
      <vt:lpstr>Retro</vt:lpstr>
      <vt:lpstr>ACL</vt:lpstr>
      <vt:lpstr>cargo_table</vt:lpstr>
      <vt:lpstr>date_completion</vt:lpstr>
      <vt:lpstr>end_FY</vt:lpstr>
      <vt:lpstr>forty_dry</vt:lpstr>
      <vt:lpstr>forty_flat</vt:lpstr>
      <vt:lpstr>fuel_total_gallons</vt:lpstr>
      <vt:lpstr>fuel_total_volume</vt:lpstr>
      <vt:lpstr>fuel_total_weight</vt:lpstr>
      <vt:lpstr>FY_dates</vt:lpstr>
      <vt:lpstr>inter_label</vt:lpstr>
      <vt:lpstr>inter_pallets</vt:lpstr>
      <vt:lpstr>inter_shipping_label</vt:lpstr>
      <vt:lpstr>intra_label</vt:lpstr>
      <vt:lpstr>intra_pallets</vt:lpstr>
      <vt:lpstr>intra_shipping_label</vt:lpstr>
      <vt:lpstr>item_description</vt:lpstr>
      <vt:lpstr>lc_gallons</vt:lpstr>
      <vt:lpstr>lc_pallets</vt:lpstr>
      <vt:lpstr>mcMurdo_date</vt:lpstr>
      <vt:lpstr>npx_float</vt:lpstr>
      <vt:lpstr>pallet_extra_weight</vt:lpstr>
      <vt:lpstr>pole_date</vt:lpstr>
      <vt:lpstr>quantity</vt:lpstr>
      <vt:lpstr>route</vt:lpstr>
      <vt:lpstr>shipping_float</vt:lpstr>
      <vt:lpstr>sleds_spot1</vt:lpstr>
      <vt:lpstr>sleds_spot2</vt:lpstr>
      <vt:lpstr>sleds_spot3</vt:lpstr>
      <vt:lpstr>special_handling</vt:lpstr>
      <vt:lpstr>spot_lc</vt:lpstr>
      <vt:lpstr>start_FY</vt:lpstr>
      <vt:lpstr>total_volume</vt:lpstr>
      <vt:lpstr>total_weight</vt:lpstr>
      <vt:lpstr>transit_time</vt:lpstr>
      <vt:lpstr>twenty_dry</vt:lpstr>
      <vt:lpstr>twenty_flat</vt:lpstr>
      <vt:lpstr>vessel_comsur</vt:lpstr>
      <vt:lpstr>volume</vt:lpstr>
      <vt:lpstr>weight</vt:lpstr>
      <vt:lpstr>work_package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Papitashvili, Vladimir O.</dc:creator>
  <cp:keywords/>
  <dc:description/>
  <cp:lastModifiedBy>Delia Tosi</cp:lastModifiedBy>
  <cp:revision/>
  <dcterms:created xsi:type="dcterms:W3CDTF">2021-08-22T23:40:35Z</dcterms:created>
  <dcterms:modified xsi:type="dcterms:W3CDTF">2022-04-11T21:47:37Z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0x01010070ED81C5E7FDBD4C93DBDEEC26165DDE</vt:lpwstr>
  </property>
</Properties>
</file>