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2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31b\AC\Temp\"/>
    </mc:Choice>
  </mc:AlternateContent>
  <xr:revisionPtr revIDLastSave="1939" documentId="11_5422404C027A47A9297E3B1F6DC3621919F546C0" xr6:coauthVersionLast="45" xr6:coauthVersionMax="45" xr10:uidLastSave="{3FC81C12-13AC-43DA-BDB8-79107E17F118}"/>
  <bookViews>
    <workbookView xWindow="0" yWindow="0" windowWidth="51195" windowHeight="28800" firstSheet="5" activeTab="5" xr2:uid="{00000000-000D-0000-FFFF-FFFF00000000}"/>
  </bookViews>
  <sheets>
    <sheet name="Storage Summary" sheetId="4" r:id="rId1"/>
    <sheet name="Cargo Shipped 2019" sheetId="7" r:id="rId2"/>
    <sheet name="Sheet X" sheetId="6" r:id="rId3"/>
    <sheet name="Drill Hose Logistics" sheetId="5" r:id="rId4"/>
    <sheet name="Cargo Summary" sheetId="3" r:id="rId5"/>
    <sheet name="All Cargo to NPX" sheetId="1" r:id="rId6"/>
    <sheet name="TraverseDetails" sheetId="8" r:id="rId7"/>
  </sheets>
  <definedNames>
    <definedName name="_xlnm._FilterDatabase" localSheetId="5" hidden="1">'All Cargo to NPX'!$A$1:$AJ$68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84" i="1" l="1"/>
  <c r="K84" i="1" l="1"/>
  <c r="G84" i="1"/>
  <c r="U74" i="1" l="1"/>
  <c r="U80" i="1"/>
  <c r="U83" i="1" l="1"/>
  <c r="U82" i="1"/>
  <c r="U81" i="1"/>
  <c r="U79" i="1"/>
  <c r="U78" i="1"/>
  <c r="U77" i="1"/>
  <c r="U76" i="1"/>
  <c r="U75" i="1"/>
  <c r="U73" i="1"/>
  <c r="U70" i="1"/>
  <c r="U20" i="1"/>
  <c r="U17" i="1"/>
  <c r="U34" i="1"/>
  <c r="U16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E87" i="1"/>
  <c r="U5" i="1" l="1"/>
  <c r="K5" i="1"/>
  <c r="G5" i="1"/>
  <c r="U38" i="1" l="1"/>
  <c r="K38" i="1"/>
  <c r="G38" i="1"/>
  <c r="U37" i="1"/>
  <c r="K37" i="1"/>
  <c r="G37" i="1"/>
  <c r="U32" i="1"/>
  <c r="K32" i="1"/>
  <c r="G32" i="1"/>
  <c r="U31" i="1"/>
  <c r="K31" i="1"/>
  <c r="G31" i="1"/>
  <c r="U30" i="1"/>
  <c r="K30" i="1"/>
  <c r="G30" i="1"/>
  <c r="U26" i="1"/>
  <c r="K26" i="1"/>
  <c r="G26" i="1"/>
  <c r="U25" i="1"/>
  <c r="K25" i="1"/>
  <c r="G25" i="1"/>
  <c r="U24" i="1"/>
  <c r="K24" i="1"/>
  <c r="G24" i="1"/>
  <c r="U23" i="1"/>
  <c r="K23" i="1"/>
  <c r="G23" i="1"/>
  <c r="U22" i="1"/>
  <c r="K22" i="1"/>
  <c r="G22" i="1"/>
  <c r="K40" i="1"/>
  <c r="G40" i="1"/>
  <c r="U39" i="1"/>
  <c r="K39" i="1"/>
  <c r="G39" i="1"/>
  <c r="U36" i="1"/>
  <c r="K36" i="1"/>
  <c r="G36" i="1"/>
  <c r="U35" i="1"/>
  <c r="K35" i="1"/>
  <c r="G35" i="1"/>
  <c r="K34" i="1"/>
  <c r="G34" i="1"/>
  <c r="U33" i="1"/>
  <c r="K33" i="1"/>
  <c r="G33" i="1"/>
  <c r="U29" i="1"/>
  <c r="K29" i="1"/>
  <c r="G29" i="1"/>
  <c r="U28" i="1"/>
  <c r="K28" i="1"/>
  <c r="G28" i="1"/>
  <c r="U27" i="1"/>
  <c r="K27" i="1"/>
  <c r="G27" i="1"/>
  <c r="U21" i="1"/>
  <c r="K21" i="1"/>
  <c r="G21" i="1"/>
  <c r="K20" i="1"/>
  <c r="G20" i="1"/>
  <c r="U3" i="1"/>
  <c r="K3" i="1"/>
  <c r="G3" i="1"/>
  <c r="U2" i="1"/>
  <c r="K2" i="1"/>
  <c r="G2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68" i="1"/>
  <c r="G68" i="1"/>
  <c r="K19" i="1"/>
  <c r="G19" i="1"/>
  <c r="K18" i="1"/>
  <c r="G18" i="1"/>
  <c r="K8" i="1"/>
  <c r="G8" i="1"/>
  <c r="K7" i="1"/>
  <c r="G7" i="1"/>
  <c r="K6" i="1"/>
  <c r="G6" i="1"/>
  <c r="K4" i="1"/>
  <c r="G4" i="1"/>
  <c r="S12" i="6" l="1"/>
  <c r="I12" i="6"/>
  <c r="E12" i="6"/>
  <c r="S11" i="6"/>
  <c r="I11" i="6"/>
  <c r="E11" i="6"/>
  <c r="S10" i="6"/>
  <c r="I10" i="6"/>
  <c r="E10" i="6"/>
  <c r="S9" i="6"/>
  <c r="I9" i="6"/>
  <c r="E9" i="6"/>
  <c r="S8" i="6"/>
  <c r="I8" i="6"/>
  <c r="E8" i="6"/>
  <c r="S7" i="6"/>
  <c r="I7" i="6"/>
  <c r="E7" i="6"/>
  <c r="S6" i="6"/>
  <c r="I6" i="6"/>
  <c r="E6" i="6"/>
  <c r="S5" i="6"/>
  <c r="I5" i="6"/>
  <c r="E5" i="6"/>
  <c r="S4" i="6"/>
  <c r="I4" i="6"/>
  <c r="E4" i="6"/>
  <c r="I3" i="6"/>
  <c r="E3" i="6"/>
  <c r="S2" i="6"/>
  <c r="I2" i="6"/>
  <c r="I15" i="6" s="1"/>
  <c r="E2" i="6"/>
  <c r="E15" i="6" s="1"/>
  <c r="F12" i="4" l="1"/>
  <c r="D12" i="4"/>
  <c r="H11" i="4"/>
  <c r="F11" i="4"/>
  <c r="D11" i="4"/>
  <c r="F10" i="4"/>
  <c r="D10" i="4"/>
  <c r="E12" i="4"/>
  <c r="C12" i="4"/>
  <c r="G11" i="4"/>
  <c r="E11" i="4"/>
  <c r="C11" i="4"/>
  <c r="E10" i="4"/>
  <c r="C10" i="4"/>
  <c r="C5" i="4"/>
  <c r="H6" i="4"/>
  <c r="F6" i="4"/>
  <c r="G6" i="4"/>
  <c r="E6" i="4"/>
  <c r="D6" i="4"/>
  <c r="C6" i="4"/>
  <c r="E5" i="4"/>
  <c r="F5" i="4"/>
  <c r="D5" i="4"/>
  <c r="F13" i="4" l="1"/>
  <c r="C13" i="4"/>
  <c r="E13" i="4"/>
  <c r="D13" i="4"/>
  <c r="E88" i="1" l="1"/>
  <c r="K63" i="1" l="1"/>
  <c r="G63" i="1"/>
  <c r="K44" i="1" l="1"/>
  <c r="K45" i="1"/>
  <c r="K46" i="1"/>
  <c r="K47" i="1"/>
  <c r="K48" i="1"/>
  <c r="K49" i="1"/>
  <c r="K50" i="1"/>
  <c r="K52" i="1"/>
  <c r="G52" i="1"/>
  <c r="F8" i="3"/>
  <c r="E8" i="3"/>
  <c r="D6" i="3"/>
  <c r="C6" i="3"/>
  <c r="F4" i="3"/>
  <c r="K41" i="1"/>
  <c r="K42" i="1"/>
  <c r="H7" i="4" s="1"/>
  <c r="K43" i="1"/>
  <c r="K51" i="1"/>
  <c r="K53" i="1"/>
  <c r="K54" i="1"/>
  <c r="K55" i="1"/>
  <c r="K56" i="1"/>
  <c r="K57" i="1"/>
  <c r="K59" i="1"/>
  <c r="K60" i="1"/>
  <c r="K58" i="1"/>
  <c r="K61" i="1"/>
  <c r="K62" i="1"/>
  <c r="K64" i="1"/>
  <c r="K65" i="1"/>
  <c r="K66" i="1"/>
  <c r="K67" i="1"/>
  <c r="D9" i="3"/>
  <c r="D10" i="3" s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9" i="1"/>
  <c r="G60" i="1"/>
  <c r="G58" i="1"/>
  <c r="G61" i="1"/>
  <c r="G62" i="1"/>
  <c r="G64" i="1"/>
  <c r="G65" i="1"/>
  <c r="G66" i="1"/>
  <c r="G67" i="1"/>
  <c r="E89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9" i="1"/>
  <c r="U60" i="1"/>
  <c r="U58" i="1"/>
  <c r="U61" i="1"/>
  <c r="U62" i="1"/>
  <c r="U64" i="1"/>
  <c r="U65" i="1"/>
  <c r="U66" i="1"/>
  <c r="U67" i="1"/>
  <c r="D7" i="3"/>
  <c r="D5" i="3"/>
  <c r="F5" i="3"/>
  <c r="C8" i="3"/>
  <c r="C4" i="3"/>
  <c r="D4" i="3"/>
  <c r="E4" i="3" l="1"/>
  <c r="F9" i="3"/>
  <c r="F10" i="3" s="1"/>
  <c r="F7" i="3"/>
  <c r="E5" i="3"/>
  <c r="C7" i="3"/>
  <c r="D8" i="3"/>
  <c r="H8" i="3" s="1"/>
  <c r="C9" i="3"/>
  <c r="C10" i="3" s="1"/>
  <c r="E7" i="3"/>
  <c r="H7" i="3" s="1"/>
  <c r="H4" i="3"/>
  <c r="E10" i="3"/>
  <c r="C5" i="3"/>
  <c r="H5" i="3" s="1"/>
  <c r="G10" i="4"/>
  <c r="G7" i="4"/>
  <c r="G12" i="4"/>
  <c r="G5" i="4"/>
  <c r="E7" i="4"/>
  <c r="E8" i="4" s="1"/>
  <c r="G87" i="1"/>
  <c r="C7" i="4"/>
  <c r="C8" i="4" s="1"/>
  <c r="G88" i="1"/>
  <c r="H10" i="4"/>
  <c r="H12" i="4"/>
  <c r="H5" i="4"/>
  <c r="H8" i="4" s="1"/>
  <c r="F7" i="4"/>
  <c r="F8" i="4" s="1"/>
  <c r="K87" i="1"/>
  <c r="D7" i="4"/>
  <c r="D8" i="4" s="1"/>
  <c r="K88" i="1"/>
  <c r="F6" i="3"/>
  <c r="E6" i="3"/>
  <c r="H6" i="3" l="1"/>
  <c r="G89" i="1"/>
  <c r="H9" i="3"/>
  <c r="H10" i="3"/>
  <c r="G8" i="4"/>
  <c r="K89" i="1"/>
  <c r="H13" i="4"/>
  <c r="G13" i="4"/>
</calcChain>
</file>

<file path=xl/sharedStrings.xml><?xml version="1.0" encoding="utf-8"?>
<sst xmlns="http://schemas.openxmlformats.org/spreadsheetml/2006/main" count="1563" uniqueCount="382">
  <si>
    <t>IceCube Upgrade - Winter Storage Requirements</t>
  </si>
  <si>
    <t>Type of Storage:</t>
  </si>
  <si>
    <t>Winter 2020</t>
  </si>
  <si>
    <t>Winter 2021</t>
  </si>
  <si>
    <t>Winter 2022</t>
  </si>
  <si>
    <t>Weight</t>
  </si>
  <si>
    <t>Cube</t>
  </si>
  <si>
    <t>McMurdo: Indoor, Heated</t>
  </si>
  <si>
    <t>McMurdo: Indoor, Unheated</t>
  </si>
  <si>
    <t>McMurdo: Outdoor</t>
  </si>
  <si>
    <t>McMurdo: TOTAL</t>
  </si>
  <si>
    <t>South Pole: Indoor, Heated</t>
  </si>
  <si>
    <t>South Pole: Indoor, Unheated</t>
  </si>
  <si>
    <t>South Pole: Outdoor</t>
  </si>
  <si>
    <t>South Pole: TOTAL</t>
  </si>
  <si>
    <t>* All weight in pounds, all cube in feet</t>
  </si>
  <si>
    <t>** This list does NOT include cargo considered "pass thru", requiring only temporary staging until movement to South Pole</t>
  </si>
  <si>
    <t>*** Current plan reflects Drill Hose winter cold-store in ZCM 2021, and winter DNF at NPX in 2022</t>
  </si>
  <si>
    <t>Date</t>
  </si>
  <si>
    <t>Crate ID</t>
  </si>
  <si>
    <t xml:space="preserve"> DNF?</t>
  </si>
  <si>
    <t>ROS McMurdo</t>
  </si>
  <si>
    <t xml:space="preserve">ROS South Pole </t>
  </si>
  <si>
    <t>Contents</t>
  </si>
  <si>
    <t>MV-10</t>
  </si>
  <si>
    <t>No</t>
  </si>
  <si>
    <t>Generator and PDM Upgrade Tools, Parts, Supplies</t>
  </si>
  <si>
    <t>ICU-01M</t>
  </si>
  <si>
    <t xml:space="preserve">DNF  </t>
  </si>
  <si>
    <t>DNF Tools for McMurdo Gen and PDM Upgrade</t>
  </si>
  <si>
    <t>BAT-1M</t>
  </si>
  <si>
    <t>DNF DeWalt 18V and 20V Batteries, Label Maker</t>
  </si>
  <si>
    <t>BAT-2</t>
  </si>
  <si>
    <t xml:space="preserve">DNF Batteries for Duvernois and Zernick </t>
  </si>
  <si>
    <t>CR-1</t>
  </si>
  <si>
    <t>2 Crescents for Drill Tower</t>
  </si>
  <si>
    <t>ICU-02</t>
  </si>
  <si>
    <t>Jaemar Winch, HPP#4, Safety Equipment</t>
  </si>
  <si>
    <t>ICU-03</t>
  </si>
  <si>
    <t>50HP Motor and Stand, Fuel and Water Hoses, Driller Bike</t>
  </si>
  <si>
    <t>ICU-04</t>
  </si>
  <si>
    <t>Vacuum Canisters, Burner, Burner Repair Kit</t>
  </si>
  <si>
    <t>SN-1</t>
  </si>
  <si>
    <t>Snowmobile- Polaris Wide Track 550</t>
  </si>
  <si>
    <t>SN-2</t>
  </si>
  <si>
    <t>MV-11</t>
  </si>
  <si>
    <t>20' Container - ICU-02, ICU-03, ICU-04, SN-1, SN-2 Inside</t>
  </si>
  <si>
    <t>ICU-05</t>
  </si>
  <si>
    <t>DNF Safety Equipment</t>
  </si>
  <si>
    <t>ICU-06</t>
  </si>
  <si>
    <t>DNF Allen Bradley Motor Drives, Tools and Equipment</t>
  </si>
  <si>
    <t>Container Type</t>
  </si>
  <si>
    <t>Description of Container Contents</t>
  </si>
  <si>
    <t>Number of containers with same characteristics</t>
  </si>
  <si>
    <t>Individual Container Weight (lbs)</t>
  </si>
  <si>
    <t>Total Weight (lbs)</t>
  </si>
  <si>
    <t>L (in)</t>
  </si>
  <si>
    <t>W (in)</t>
  </si>
  <si>
    <t>H (in)</t>
  </si>
  <si>
    <t>Total Cubes (cf)</t>
  </si>
  <si>
    <t>Wt &amp; Cu Confirmed? (L2/Date)</t>
  </si>
  <si>
    <t>Keep Dry</t>
  </si>
  <si>
    <t>Do Not Freeze (DNF)</t>
  </si>
  <si>
    <t>Hazardous</t>
  </si>
  <si>
    <t>Spec. Hndlg</t>
  </si>
  <si>
    <t>Drift?</t>
  </si>
  <si>
    <t>Shipping to NPX Origin</t>
  </si>
  <si>
    <t>Depart Origin Target Date</t>
  </si>
  <si>
    <t>Expected arrival at Port Hueneme (must meet RDD for ROS)</t>
  </si>
  <si>
    <t>Transit Time: Origin to PTH (days)</t>
  </si>
  <si>
    <t>Ship Method - PTH to Christchurch</t>
  </si>
  <si>
    <t>Ship Method to McMurdo (ZCM)</t>
  </si>
  <si>
    <t>Arrive ZCM</t>
  </si>
  <si>
    <t>Ship method to Pole (NPX)</t>
  </si>
  <si>
    <t>ROS date
to NPX</t>
  </si>
  <si>
    <t>Total Transit Time: 
PTH to NPX (days)</t>
  </si>
  <si>
    <t>Long-Term
Storage Required?</t>
  </si>
  <si>
    <t>Storage
Start Date</t>
  </si>
  <si>
    <t>Storage
End Date</t>
  </si>
  <si>
    <t>Storage Location
- South Pole
- McMurdo
- None</t>
  </si>
  <si>
    <t>Storage
Season</t>
  </si>
  <si>
    <t>Storage Type
- Indoor, Heated
- Indoor, Unheated
- Outdoor</t>
  </si>
  <si>
    <t>Wood Spool</t>
  </si>
  <si>
    <t>Drill Hose (from PSL) (DNDF) 4@4800#, 350cu</t>
  </si>
  <si>
    <t>TH</t>
  </si>
  <si>
    <t>DNDF-ZCM</t>
  </si>
  <si>
    <t>Yes</t>
  </si>
  <si>
    <t>PSL</t>
  </si>
  <si>
    <t>Vessel 2020</t>
  </si>
  <si>
    <t>Air 2021</t>
  </si>
  <si>
    <t>South Pole</t>
  </si>
  <si>
    <t>Indoor, Heated</t>
  </si>
  <si>
    <t>Cryo Storage</t>
  </si>
  <si>
    <t>Drill Hose (from Italy) (DNDF) 8@4800#, 350cu</t>
  </si>
  <si>
    <t>Italy</t>
  </si>
  <si>
    <t>ComSur 2020</t>
  </si>
  <si>
    <t>Steel Spool</t>
  </si>
  <si>
    <t>Main Cable Assembly 87</t>
  </si>
  <si>
    <t>TDY 9/11/19</t>
  </si>
  <si>
    <t>None</t>
  </si>
  <si>
    <t>MSU</t>
  </si>
  <si>
    <t>ComSur 2021</t>
  </si>
  <si>
    <t>C17-2021</t>
  </si>
  <si>
    <t>Main Cable Assembly 88</t>
  </si>
  <si>
    <t>Cardboard overcarton</t>
  </si>
  <si>
    <t>108 mDOMs 87 - 88: overcartons of 4 units</t>
  </si>
  <si>
    <t>DESY / MSU</t>
  </si>
  <si>
    <t>Other Storage (B2 Mezanine?)</t>
  </si>
  <si>
    <t>88 D-Eggs 87 - 88: overcartons of 4 units</t>
  </si>
  <si>
    <t>Chiba</t>
  </si>
  <si>
    <t>8 PDOMs 87 - 88: overcartons of 8 units</t>
  </si>
  <si>
    <t>UW</t>
  </si>
  <si>
    <t>28 POCAMs 87 - 93</t>
  </si>
  <si>
    <t>Munich</t>
  </si>
  <si>
    <t>12 Pencil Beams 87 - 93</t>
  </si>
  <si>
    <t>Wood Crate</t>
  </si>
  <si>
    <t>Special Devices 87 - 88</t>
  </si>
  <si>
    <t>Various</t>
  </si>
  <si>
    <t>Hardigg Case</t>
  </si>
  <si>
    <t>Depth Sensors (Paro) 87 - 93</t>
  </si>
  <si>
    <t>Drill Hose - Delivery Options</t>
  </si>
  <si>
    <t>O</t>
  </si>
  <si>
    <t>N</t>
  </si>
  <si>
    <t>D</t>
  </si>
  <si>
    <t>J</t>
  </si>
  <si>
    <t>F</t>
  </si>
  <si>
    <t>M</t>
  </si>
  <si>
    <t>A</t>
  </si>
  <si>
    <t>S</t>
  </si>
  <si>
    <t>Option-1
(Preferred)</t>
  </si>
  <si>
    <t>New Hose, Procurement</t>
  </si>
  <si>
    <t>Procurement</t>
  </si>
  <si>
    <t>New Hose, Drop Ship IVG (Italy) to CHC  - (9 spools)</t>
  </si>
  <si>
    <t>Ship/Store</t>
  </si>
  <si>
    <t>Vessel</t>
  </si>
  <si>
    <t>PSL Hose,   Vessel, PTH - ZCM  -  (4 spools)</t>
  </si>
  <si>
    <t>Storage in McMurdo (Outdoor Cold)  -  (13 spools)</t>
  </si>
  <si>
    <t>Store McMurdo (Outdoor Cold)</t>
  </si>
  <si>
    <t>Fly ZCM to NPX (9 spools), leave 4 spools in McMurdo</t>
  </si>
  <si>
    <t>FLY</t>
  </si>
  <si>
    <t>Install onto Hose reel at Pole, leave spares in McMurdo</t>
  </si>
  <si>
    <t>Install</t>
  </si>
  <si>
    <t>Storage at South Pole on hose reel</t>
  </si>
  <si>
    <t>Store at NPX (DNDF on reel)</t>
  </si>
  <si>
    <t>Fly ZCM to NPX (4 spools) Drill, Retro to Storage</t>
  </si>
  <si>
    <t>DRILL</t>
  </si>
  <si>
    <t>Option-2
(Old-Preferred)</t>
  </si>
  <si>
    <t>Fly ZCM to NPX  -  (13 spools)</t>
  </si>
  <si>
    <t>Storage at South Pole (Cryo?)  -  (13 spools)</t>
  </si>
  <si>
    <t>Store at NPX (DNF)</t>
  </si>
  <si>
    <t>Install &amp; Drill, Retro to Storage</t>
  </si>
  <si>
    <t>Option-2
(Risky)</t>
  </si>
  <si>
    <t>Storage in McMurdo (Outdoor Cold)  -  (13 spools)</t>
  </si>
  <si>
    <t>Store in McMurdo (Outdoor Cold)</t>
  </si>
  <si>
    <t>Fly ZCM to NPX</t>
  </si>
  <si>
    <t>Fly</t>
  </si>
  <si>
    <t>Install  (just in time) &amp; Drill, Retro to Storage</t>
  </si>
  <si>
    <t>Option-3
(Not desired)</t>
  </si>
  <si>
    <t>Ship - CHC</t>
  </si>
  <si>
    <t>PSL Hose,   Vessel, PTH - CHC  -  (4 spools)</t>
  </si>
  <si>
    <t>VSL</t>
  </si>
  <si>
    <t>Storage in Christchurch, NZ</t>
  </si>
  <si>
    <t>Store in Christchurch</t>
  </si>
  <si>
    <t>Fly CHC to ZCM (C-17)</t>
  </si>
  <si>
    <t>C17</t>
  </si>
  <si>
    <t>Transport Summary by Method by Season (do not edit)</t>
  </si>
  <si>
    <t>Method of Transport</t>
  </si>
  <si>
    <t>2019/20</t>
  </si>
  <si>
    <t>2020/21</t>
  </si>
  <si>
    <t>2021/22</t>
  </si>
  <si>
    <t>2022/23</t>
  </si>
  <si>
    <t>TOTAL</t>
  </si>
  <si>
    <t>Vessel to McMurdo</t>
  </si>
  <si>
    <t>ComSur to CHC</t>
  </si>
  <si>
    <t>ComAir to CHC</t>
  </si>
  <si>
    <t>C-17 to McMurdo</t>
  </si>
  <si>
    <t>Traverse ZCM to NPX</t>
  </si>
  <si>
    <t>Fly LC-130 ZCM to NPX</t>
  </si>
  <si>
    <t>Estimated Flights (23,800/ea)</t>
  </si>
  <si>
    <t>* All weight in pounds</t>
  </si>
  <si>
    <t>- Traverse consists only of EHWD Generator modules, IFD, and over-sized SALSA equipment</t>
  </si>
  <si>
    <t>- Does NOT include fuel (cargo only)</t>
  </si>
  <si>
    <t>ID #</t>
  </si>
  <si>
    <t>WBS
L2</t>
  </si>
  <si>
    <t>Season Ship Priority, 1 = top priority and then count up</t>
  </si>
  <si>
    <t>Season Traverse Priority, 1 = top priority and then count up</t>
  </si>
  <si>
    <t>Traverse Note</t>
  </si>
  <si>
    <t>Note</t>
  </si>
  <si>
    <t>Added information related to traverse</t>
  </si>
  <si>
    <t>Repair/Replacement Parts (2020/21), MHP, PHS, Pumps, MDS parts,</t>
  </si>
  <si>
    <t>C17-2020</t>
  </si>
  <si>
    <t>Air 2020</t>
  </si>
  <si>
    <t>Repair/Replacement Parts (2020/21) - DO NOT FREEZE</t>
  </si>
  <si>
    <t>DNF</t>
  </si>
  <si>
    <t>ISO Container</t>
  </si>
  <si>
    <t>Generator-1 (at ZCM, came vessel Feb 2020)</t>
  </si>
  <si>
    <t>ZCM</t>
  </si>
  <si>
    <t>--</t>
  </si>
  <si>
    <t>Traverse 2020</t>
  </si>
  <si>
    <t>SPOT1</t>
  </si>
  <si>
    <t>McMurdo</t>
  </si>
  <si>
    <t>Outdoor</t>
  </si>
  <si>
    <t>Motor Drives, Control System Equipment (2020)</t>
  </si>
  <si>
    <t>Sled/Skis</t>
  </si>
  <si>
    <t>UNL - Flat Rack/Ski-Sled System # 1 - 40'L, ISO2 (Gen2&amp;3 on now)</t>
  </si>
  <si>
    <t>N/A</t>
  </si>
  <si>
    <t>TBD</t>
  </si>
  <si>
    <t>Generator-2 (currently on 40' UNL Flat Rack #1 w/Gen3) -&gt; move to ASC flatrack</t>
  </si>
  <si>
    <t>Generator-3 (currently on 40' UNL Flat Rack #1 w/Gen2) -&gt; move to ASC flatrack</t>
  </si>
  <si>
    <t>UNL - Reel Container - 40' long, on ISO2 (NOT Hercable)</t>
  </si>
  <si>
    <t>Winter 2020/21</t>
  </si>
  <si>
    <t>UNL - HPU-1 - 40' long, on ISO2-C (NOT Hercable)</t>
  </si>
  <si>
    <t>UNL - HPU-2 - 40' long, on ISO2 (NOT Hercable)</t>
  </si>
  <si>
    <t>UNL - Flat Rack/Ski-Sled System #3 - 20'L (can not locate)</t>
  </si>
  <si>
    <t>Traverse 2021</t>
  </si>
  <si>
    <t>UNL - Flat Rack/Ski-Sled System #2 - 40'L, ISO2 (Fuel tower, panel, on now)</t>
  </si>
  <si>
    <t>Loose Equip</t>
  </si>
  <si>
    <t>Fuel Tower, Day Tank (currently on UNL flat rack #2) -&gt; move to ASC flatrack</t>
  </si>
  <si>
    <t>Electrical Panels (on UNL flat rack #2 - remove and fly to NPX 11/19)</t>
  </si>
  <si>
    <t>Hose Crimper (on UNL flat rack) - retroed to WI 20/21, will ship back in crate</t>
  </si>
  <si>
    <t>Cable Tensioner (Bull Wheel)</t>
  </si>
  <si>
    <t>ComSur2021</t>
  </si>
  <si>
    <t>SPOT2</t>
  </si>
  <si>
    <t>Secure Equip</t>
  </si>
  <si>
    <t>TB 4/7/20</t>
  </si>
  <si>
    <t>Glycol</t>
  </si>
  <si>
    <t>287B Cat Skidsteer</t>
  </si>
  <si>
    <t>Snowmobiles x 2</t>
  </si>
  <si>
    <t>Filtration Sub-Components, Spares</t>
  </si>
  <si>
    <t>Computers, Networking Equipment (DNF)</t>
  </si>
  <si>
    <t>ComAir 2021</t>
  </si>
  <si>
    <t>Motor Drives, Control System Equipment</t>
  </si>
  <si>
    <t>Repair/Replacement Parts (2021-22), Pumps, Replacement Parts</t>
  </si>
  <si>
    <t>Repair/Replacement Parts (2021/22) - DO NOT FREEZE</t>
  </si>
  <si>
    <t>Cables, Main Feeder, Bldg Interconnects</t>
  </si>
  <si>
    <t>TOS/Tower Refabricated items</t>
  </si>
  <si>
    <t>MSHR Spare Parts</t>
  </si>
  <si>
    <t>Drums</t>
  </si>
  <si>
    <t>Glycol - Provided by ASC? (4x55 gal)</t>
  </si>
  <si>
    <t>Drill Head</t>
  </si>
  <si>
    <t>Main Drill Cable Reel (with drill cable)</t>
  </si>
  <si>
    <t>Cable, Drill, Spare on Spool</t>
  </si>
  <si>
    <t>Return Water Cable Reel</t>
  </si>
  <si>
    <t>Cable, Combo</t>
  </si>
  <si>
    <t>Repair/Replacement Parts (2022/23), Last minute Parts</t>
  </si>
  <si>
    <t>ComAir 2022</t>
  </si>
  <si>
    <t>C17-2022</t>
  </si>
  <si>
    <t>Air 2022</t>
  </si>
  <si>
    <t>Repair/Replacement Parts (2022/23) - DO NOT FREEZE</t>
  </si>
  <si>
    <t>Winter 2021/2022</t>
  </si>
  <si>
    <t>DNDF, min -50C</t>
  </si>
  <si>
    <t>Drill Hose (from Italy) (DNDF) 9@4800#, 350cu</t>
  </si>
  <si>
    <t>Heated on Hose reel at NPX Winter 2022</t>
  </si>
  <si>
    <t>String Hardware 87 - 88</t>
  </si>
  <si>
    <t>String Hardware 89 - 93</t>
  </si>
  <si>
    <t>Vessel 2021</t>
  </si>
  <si>
    <t>Deployment Weights 87 - 93</t>
  </si>
  <si>
    <t>DNDF</t>
  </si>
  <si>
    <t>DNDF, min -40C</t>
  </si>
  <si>
    <t>Main Cable Assembly 89</t>
  </si>
  <si>
    <t>Main Cable Assembly 90</t>
  </si>
  <si>
    <t>Main Cable Assembly 91</t>
  </si>
  <si>
    <t>Main Cable Assembly 92</t>
  </si>
  <si>
    <t>Main Cable Assembly 93</t>
  </si>
  <si>
    <t>Breakout Cable Assemblies 87 - 88</t>
  </si>
  <si>
    <t>TDY 6/6/19</t>
  </si>
  <si>
    <t>Breakout Cable Assemblies 89 - 93</t>
  </si>
  <si>
    <t>Surface Cable Assemblies 87 - 93</t>
  </si>
  <si>
    <t>Surface Junction Boxes 87 - 93</t>
  </si>
  <si>
    <t>111 + 17 spares mDOMs 87 - 88: overcartons of 8 units</t>
  </si>
  <si>
    <t>78 + 18 spares D-Eggs 87 - 88: overcartons of 8 units</t>
  </si>
  <si>
    <t>2 PDOMs + 3 Pencil Beams + 3 spares for 87 - 88: overcarton of 8 just like in Gen1</t>
  </si>
  <si>
    <t>21 Special Devices of 7 types (excluding PDOMs and Pencil Beams) 87 - 88</t>
  </si>
  <si>
    <t>17 + XX spares POCAMs 89 - 93 (TO BE UPDATED)</t>
  </si>
  <si>
    <t>8 + XX spares Pencil Beams 89 - 93 (TO BE UPDATED)</t>
  </si>
  <si>
    <t>285 + 11  spares mDOMs 89 - 93 overcartons of 8</t>
  </si>
  <si>
    <t>ComSur 2022</t>
  </si>
  <si>
    <t>197 + 11 spares  D-Eggs 89 - 93 overcartons of 8</t>
  </si>
  <si>
    <t>12 PDOMs 89-93 + 8 PBS overcartons of 8 (like Gen1) + 4 spares in total (TBD)</t>
  </si>
  <si>
    <t>58 Special Devices 89-93 (7 types, no PB, no pDOM) + 6 spares in total (TBD) overcartons or crates of 8</t>
  </si>
  <si>
    <t>Field Hubs 87 - 93</t>
  </si>
  <si>
    <t>TDY 6/5/19</t>
  </si>
  <si>
    <t>DESY</t>
  </si>
  <si>
    <t>Indoor, Heated (ICL)</t>
  </si>
  <si>
    <t>Miscellaneous Scientific Equipment</t>
  </si>
  <si>
    <t>EKB - May 21</t>
  </si>
  <si>
    <t>Computing Infrastructure</t>
  </si>
  <si>
    <t>EKB - May21</t>
  </si>
  <si>
    <t>20' Milvan Container (empty)</t>
  </si>
  <si>
    <t>Generator Hoods in ZCM (2x exhaust) (currently on UNL flat rack #2) -&gt; move to ASC flatrack</t>
  </si>
  <si>
    <t>Generator Hoods new (5x)</t>
  </si>
  <si>
    <t>Independent Firn Drill (IFD) Sheave (in ZCM)</t>
  </si>
  <si>
    <t>Independent Firn Drill (IFD) Drillhead (in ZCM)</t>
  </si>
  <si>
    <t>Independent Firn Drill (IFD) DNF</t>
  </si>
  <si>
    <t>TU-20 Shaft</t>
  </si>
  <si>
    <t>Hartigg</t>
  </si>
  <si>
    <t>Antarctic Rodwell Aparatus DNF</t>
  </si>
  <si>
    <t>Antarctic Rodwell Aparatus Drillheads</t>
  </si>
  <si>
    <t>Antarctic Rodwell Aparatus White Generator</t>
  </si>
  <si>
    <t>Antarctic Rodwell Aparatus Crate</t>
  </si>
  <si>
    <t>Pallet</t>
  </si>
  <si>
    <t>Fall Restraints</t>
  </si>
  <si>
    <t>20' Skis (5x sets) - stack onto Generator buildings</t>
  </si>
  <si>
    <t>287B Forks</t>
  </si>
  <si>
    <t>DOM Handling Facility (DHF)</t>
  </si>
  <si>
    <t>DOM Sleds (2x)</t>
  </si>
  <si>
    <t>Mini Milvan</t>
  </si>
  <si>
    <t>TOTAL by AIR to NPX via Herc</t>
  </si>
  <si>
    <t>TOTAL by TRAVERSE to NPX via SPoT2, SPoT3 or Science</t>
  </si>
  <si>
    <t>GRAND TOTAL</t>
  </si>
  <si>
    <t>Change Log:</t>
  </si>
  <si>
    <t>1. Changed all instrumentation to air between McMurdo and Pole. Keep it simple. Hutch 6/4/19</t>
  </si>
  <si>
    <t>2. Added Storage requirements columns. Hutch 6/5/19</t>
  </si>
  <si>
    <t>3. Changed Gen3 and PDM transport method from Traverse to Air 2020, also changed ROS to earlier. Hutch 11/20/19</t>
  </si>
  <si>
    <t>4. Added 2 UNL Flat Racks (40' and 20') for traversing IceCube equipment to NPX in 2020. Hutch 11/20/219</t>
  </si>
  <si>
    <t>5. Added UNL - HPU#2 (40' container). Hutch 11/20/19</t>
  </si>
  <si>
    <t>6. Reworked all Implementation cargo. Hutch 2/7/20</t>
  </si>
  <si>
    <t>7. Complete rework of all Implementation cargo, added items 70-84.  Benson 4/8/2020</t>
  </si>
  <si>
    <t>8. Had to swap color coding of ship method (blue &lt;-&gt; green) to match now established TraverseDetails tab.  Benson 4/8/2020</t>
  </si>
  <si>
    <t>9. More adjustments to implementation cargo, mainly traverse items.  Benson 4/8/2020</t>
  </si>
  <si>
    <t>10.  Reduced ID#3 qty from 6 to 4, added ID#85 qty 2.  Flagged red until updated in 20/21 SIP - unflag when SIP updated.  Benson 4/15/2020 (unflagged Benson 4/23)</t>
  </si>
  <si>
    <t>11.  Updated drill hose logistics (ID#40&amp;41)</t>
  </si>
  <si>
    <t>TRAVERSE (ONLY) DETAILS</t>
  </si>
  <si>
    <t>Postion = 40'</t>
  </si>
  <si>
    <t>(X) = backup plan</t>
  </si>
  <si>
    <t>2020-2021</t>
  </si>
  <si>
    <t>2021-2022</t>
  </si>
  <si>
    <t>ID From All Cargo to NPX tab</t>
  </si>
  <si>
    <t>Item</t>
  </si>
  <si>
    <t>2020 Location</t>
  </si>
  <si>
    <t>Priority</t>
  </si>
  <si>
    <t>LC130</t>
  </si>
  <si>
    <t>TRAVERSE</t>
  </si>
  <si>
    <t>SPOT 1</t>
  </si>
  <si>
    <t>SPOT 2</t>
  </si>
  <si>
    <t>SPOT 3</t>
  </si>
  <si>
    <t>Position 1</t>
  </si>
  <si>
    <t>Position 2</t>
  </si>
  <si>
    <t>Position 3</t>
  </si>
  <si>
    <t>Position 4</t>
  </si>
  <si>
    <t>Generator 2</t>
  </si>
  <si>
    <t>McM</t>
  </si>
  <si>
    <t>on UNL flatrack 1 with ISO2.  Need to move onto ASC flatrack.  Needs alum skis @ NPX</t>
  </si>
  <si>
    <t>X</t>
  </si>
  <si>
    <t>Generator 1</t>
  </si>
  <si>
    <t>Need to move onto ASC flatrack.  Needs alum skis @ NPX.</t>
  </si>
  <si>
    <t>Generator 3</t>
  </si>
  <si>
    <t>Fuel Tower Day Tank</t>
  </si>
  <si>
    <t>on UNL flatrack 2 with ISO2, bolted and strappped, 1/2 full. Need to move onto ASC flatrack</t>
  </si>
  <si>
    <t>Gen Hoods in ZCM (2x exhaust)</t>
  </si>
  <si>
    <t>on UNL flatrack 2 with ISO2.  Need to move onto ASC flatrack.</t>
  </si>
  <si>
    <t>20' Skis (5x sets)</t>
  </si>
  <si>
    <t>Need to arrive before or with Generators, STACK on top of generators</t>
  </si>
  <si>
    <t>Independent Firn Drill (IFD)</t>
  </si>
  <si>
    <t>Need to move onto ASC flatrack.  Herc = waiver?</t>
  </si>
  <si>
    <t>IFD Sheave</t>
  </si>
  <si>
    <t>Need to move onto ASC flatrack</t>
  </si>
  <si>
    <t>IFD Head</t>
  </si>
  <si>
    <t>HPU1 (UNL)</t>
  </si>
  <si>
    <t>Repair needed at ZCM (2020).  Already on ISO2-C</t>
  </si>
  <si>
    <t>Main Drill Cable Reel (MDCR)</t>
  </si>
  <si>
    <t>Large heavy winch</t>
  </si>
  <si>
    <t>Gen Hoods NEW (5x)</t>
  </si>
  <si>
    <t>Put some Gen Hoods and TU20 shaft inside empty milvan (ID 69)</t>
  </si>
  <si>
    <t>20' MECC-style (for now) - on 2020/21 vessel, 21/22 traverse</t>
  </si>
  <si>
    <t>DOM sleds (2x)</t>
  </si>
  <si>
    <t>Needed at Pole 21/22</t>
  </si>
  <si>
    <t>Drill cable (spare)</t>
  </si>
  <si>
    <t>Large wooden spool</t>
  </si>
  <si>
    <t>Spare Combo Cable</t>
  </si>
  <si>
    <t>Put some Gen Hoods (ID 71) inside</t>
  </si>
  <si>
    <t>TU20 Shaft</t>
  </si>
  <si>
    <t>Long pallet, put inside empty milvan (ID 69)</t>
  </si>
  <si>
    <t>UNL Flatrack 1 with ISO2</t>
  </si>
  <si>
    <t>Stack with Flatrack 2 + 2sets ISO2.  Reassessing need at Pole</t>
  </si>
  <si>
    <t>UNL Flatrack 2 with ISO2</t>
  </si>
  <si>
    <t>Stack with Flatrack 1 + 2sets ISO2.  Reassessing need at Pole</t>
  </si>
  <si>
    <t>HPU2 (UNL)</t>
  </si>
  <si>
    <t>Repair needed at ZCM (?), put on ISO3 to traverse DO NOT LIFT.  Maybe extract heaters and leave container</t>
  </si>
  <si>
    <t>RCU (UNL)</t>
  </si>
  <si>
    <t>Repair needed at ZCM (?), put on ISO3 to traverse.  Reassessing need at Pole</t>
  </si>
  <si>
    <t>Independent Firn Drill  (IFD)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</si>
</sst>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Arial"/>
    </font>
    <font>
      <sz val="14"/>
      <color theme="1"/>
      <name val="Arial"/>
    </font>
    <font>
      <sz val="11"/>
      <color theme="1"/>
      <name val="Calibri"/>
    </font>
    <font>
      <sz val="11"/>
      <color rgb="FFFFFFFF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4"/>
      <color rgb="FF000000"/>
      <name val="Arial"/>
    </font>
    <font>
      <b/>
      <sz val="11"/>
      <color rgb="FF000000"/>
      <name val="Calibri"/>
      <family val="2"/>
      <scheme val="minor"/>
    </font>
    <font>
      <sz val="11"/>
      <color rgb="FF54823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 applyAlignment="1">
      <alignment horizontal="right"/>
    </xf>
    <xf numFmtId="0" fontId="2" fillId="0" borderId="0" xfId="0" applyFont="1" applyFill="1" applyBorder="1"/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9" fillId="0" borderId="0" xfId="0" applyFont="1" applyFill="1" applyBorder="1"/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5" fillId="0" borderId="0" xfId="0" applyFo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center" vertical="top" wrapText="1"/>
    </xf>
    <xf numFmtId="164" fontId="15" fillId="0" borderId="5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6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2" xfId="0" applyNumberFormat="1" applyFont="1" applyBorder="1" applyAlignment="1">
      <alignment vertical="center"/>
    </xf>
    <xf numFmtId="14" fontId="0" fillId="0" borderId="0" xfId="0" applyNumberFormat="1"/>
    <xf numFmtId="0" fontId="14" fillId="0" borderId="5" xfId="0" applyFont="1" applyBorder="1" applyAlignment="1">
      <alignment horizontal="left" vertical="center" indent="2"/>
    </xf>
    <xf numFmtId="0" fontId="14" fillId="0" borderId="7" xfId="0" applyFont="1" applyBorder="1" applyAlignment="1">
      <alignment horizontal="left" vertical="center" indent="2"/>
    </xf>
    <xf numFmtId="0" fontId="14" fillId="0" borderId="5" xfId="0" applyFont="1" applyFill="1" applyBorder="1" applyAlignment="1">
      <alignment horizontal="left" vertical="center" indent="2"/>
    </xf>
    <xf numFmtId="0" fontId="14" fillId="0" borderId="6" xfId="0" applyFont="1" applyBorder="1" applyAlignment="1">
      <alignment horizontal="left" vertical="center" indent="2"/>
    </xf>
    <xf numFmtId="0" fontId="16" fillId="0" borderId="0" xfId="0" applyFont="1"/>
    <xf numFmtId="0" fontId="0" fillId="0" borderId="0" xfId="0" applyFill="1" applyAlignment="1">
      <alignment horizontal="center"/>
    </xf>
    <xf numFmtId="0" fontId="3" fillId="0" borderId="0" xfId="0" applyFont="1"/>
    <xf numFmtId="0" fontId="0" fillId="0" borderId="0" xfId="0" applyFill="1" applyBorder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17" fillId="5" borderId="0" xfId="0" applyFont="1" applyFill="1" applyBorder="1"/>
    <xf numFmtId="0" fontId="17" fillId="5" borderId="0" xfId="0" applyFont="1" applyFill="1" applyBorder="1" applyAlignment="1"/>
    <xf numFmtId="0" fontId="3" fillId="0" borderId="2" xfId="0" applyFont="1" applyBorder="1"/>
    <xf numFmtId="0" fontId="0" fillId="0" borderId="2" xfId="0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/>
    <xf numFmtId="0" fontId="5" fillId="0" borderId="0" xfId="0" applyFont="1" applyFill="1" applyBorder="1"/>
    <xf numFmtId="0" fontId="0" fillId="0" borderId="0" xfId="0" applyFill="1"/>
    <xf numFmtId="164" fontId="15" fillId="0" borderId="7" xfId="0" applyNumberFormat="1" applyFont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164" fontId="15" fillId="0" borderId="4" xfId="0" applyNumberFormat="1" applyFont="1" applyBorder="1" applyAlignment="1">
      <alignment vertical="center"/>
    </xf>
    <xf numFmtId="0" fontId="7" fillId="0" borderId="0" xfId="0" applyFont="1"/>
    <xf numFmtId="0" fontId="5" fillId="0" borderId="0" xfId="0" quotePrefix="1" applyFont="1" applyBorder="1" applyAlignment="1">
      <alignment horizontal="center"/>
    </xf>
    <xf numFmtId="164" fontId="7" fillId="0" borderId="0" xfId="0" applyNumberFormat="1" applyFont="1" applyBorder="1"/>
    <xf numFmtId="164" fontId="7" fillId="0" borderId="1" xfId="0" applyNumberFormat="1" applyFont="1" applyBorder="1"/>
    <xf numFmtId="0" fontId="7" fillId="0" borderId="0" xfId="0" applyFont="1" applyBorder="1"/>
    <xf numFmtId="164" fontId="7" fillId="0" borderId="4" xfId="0" applyNumberFormat="1" applyFont="1" applyBorder="1"/>
    <xf numFmtId="164" fontId="7" fillId="0" borderId="8" xfId="0" applyNumberFormat="1" applyFont="1" applyBorder="1"/>
    <xf numFmtId="164" fontId="5" fillId="0" borderId="0" xfId="0" applyNumberFormat="1" applyFont="1" applyBorder="1"/>
    <xf numFmtId="164" fontId="5" fillId="0" borderId="1" xfId="0" applyNumberFormat="1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0" fontId="18" fillId="9" borderId="9" xfId="0" quotePrefix="1" applyFont="1" applyFill="1" applyBorder="1" applyAlignment="1">
      <alignment horizontal="left" indent="1"/>
    </xf>
    <xf numFmtId="0" fontId="14" fillId="0" borderId="13" xfId="0" applyFont="1" applyBorder="1" applyAlignment="1">
      <alignment horizontal="left" vertical="center" indent="2"/>
    </xf>
    <xf numFmtId="164" fontId="14" fillId="0" borderId="1" xfId="0" applyNumberFormat="1" applyFont="1" applyBorder="1" applyAlignment="1">
      <alignment vertical="center"/>
    </xf>
    <xf numFmtId="0" fontId="14" fillId="0" borderId="14" xfId="0" applyFont="1" applyBorder="1" applyAlignment="1">
      <alignment horizontal="left" vertical="center" indent="2"/>
    </xf>
    <xf numFmtId="164" fontId="14" fillId="0" borderId="3" xfId="0" applyNumberFormat="1" applyFont="1" applyBorder="1" applyAlignment="1">
      <alignment vertical="center"/>
    </xf>
    <xf numFmtId="0" fontId="14" fillId="0" borderId="15" xfId="0" applyFont="1" applyBorder="1" applyAlignment="1">
      <alignment horizontal="left" vertical="center" indent="2"/>
    </xf>
    <xf numFmtId="164" fontId="14" fillId="0" borderId="8" xfId="0" applyNumberFormat="1" applyFont="1" applyBorder="1" applyAlignment="1">
      <alignment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1" fillId="9" borderId="16" xfId="0" applyFont="1" applyFill="1" applyBorder="1" applyAlignment="1">
      <alignment horizontal="left" vertical="center" indent="1"/>
    </xf>
    <xf numFmtId="0" fontId="21" fillId="9" borderId="10" xfId="0" applyFont="1" applyFill="1" applyBorder="1" applyAlignment="1">
      <alignment horizontal="center" vertical="center"/>
    </xf>
    <xf numFmtId="0" fontId="21" fillId="9" borderId="11" xfId="0" applyFont="1" applyFill="1" applyBorder="1" applyAlignment="1">
      <alignment vertical="center"/>
    </xf>
    <xf numFmtId="0" fontId="7" fillId="0" borderId="6" xfId="0" quotePrefix="1" applyFont="1" applyBorder="1"/>
    <xf numFmtId="0" fontId="5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center" wrapText="1"/>
    </xf>
    <xf numFmtId="0" fontId="0" fillId="0" borderId="9" xfId="0" applyBorder="1" applyAlignment="1"/>
    <xf numFmtId="0" fontId="0" fillId="11" borderId="16" xfId="0" applyFill="1" applyBorder="1"/>
    <xf numFmtId="0" fontId="0" fillId="3" borderId="9" xfId="0" applyFill="1" applyBorder="1"/>
    <xf numFmtId="0" fontId="0" fillId="3" borderId="11" xfId="0" applyFill="1" applyBorder="1"/>
    <xf numFmtId="0" fontId="0" fillId="0" borderId="12" xfId="0" applyBorder="1" applyAlignment="1">
      <alignment horizontal="center"/>
    </xf>
    <xf numFmtId="0" fontId="0" fillId="6" borderId="6" xfId="0" applyFill="1" applyBorder="1" applyAlignment="1"/>
    <xf numFmtId="0" fontId="0" fillId="0" borderId="12" xfId="0" applyBorder="1"/>
    <xf numFmtId="0" fontId="0" fillId="0" borderId="12" xfId="0" applyBorder="1" applyAlignment="1"/>
    <xf numFmtId="0" fontId="0" fillId="0" borderId="2" xfId="0" applyFill="1" applyBorder="1" applyAlignment="1"/>
    <xf numFmtId="165" fontId="0" fillId="0" borderId="0" xfId="0" applyNumberFormat="1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top" wrapText="1"/>
    </xf>
    <xf numFmtId="14" fontId="3" fillId="0" borderId="0" xfId="0" applyNumberFormat="1" applyFont="1" applyFill="1" applyBorder="1" applyAlignment="1">
      <alignment horizontal="center" vertical="top" wrapText="1"/>
    </xf>
    <xf numFmtId="14" fontId="4" fillId="0" borderId="0" xfId="0" applyNumberFormat="1" applyFont="1" applyFill="1" applyBorder="1" applyAlignment="1">
      <alignment horizontal="center" wrapText="1"/>
    </xf>
    <xf numFmtId="164" fontId="0" fillId="0" borderId="0" xfId="0" applyNumberFormat="1" applyFill="1" applyBorder="1"/>
    <xf numFmtId="0" fontId="11" fillId="0" borderId="0" xfId="0" applyFont="1" applyFill="1" applyAlignment="1">
      <alignment horizontal="center"/>
    </xf>
    <xf numFmtId="14" fontId="0" fillId="0" borderId="0" xfId="0" quotePrefix="1" applyNumberFormat="1" applyFill="1" applyBorder="1" applyAlignment="1">
      <alignment horizontal="center"/>
    </xf>
    <xf numFmtId="1" fontId="0" fillId="0" borderId="0" xfId="0" quotePrefix="1" applyNumberFormat="1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164" fontId="0" fillId="0" borderId="0" xfId="1" quotePrefix="1" applyNumberFormat="1" applyFont="1" applyFill="1" applyBorder="1" applyAlignment="1">
      <alignment horizontal="center"/>
    </xf>
    <xf numFmtId="1" fontId="0" fillId="0" borderId="0" xfId="0" quotePrefix="1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64" fontId="5" fillId="0" borderId="0" xfId="1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5" fillId="0" borderId="4" xfId="0" applyFont="1" applyFill="1" applyBorder="1"/>
    <xf numFmtId="164" fontId="5" fillId="0" borderId="4" xfId="1" applyNumberFormat="1" applyFont="1" applyFill="1" applyBorder="1" applyAlignment="1">
      <alignment horizontal="center"/>
    </xf>
    <xf numFmtId="1" fontId="5" fillId="0" borderId="4" xfId="1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ont="1" applyFill="1" applyBorder="1" applyAlignment="1">
      <alignment horizontal="center"/>
    </xf>
    <xf numFmtId="164" fontId="3" fillId="12" borderId="0" xfId="1" applyNumberFormat="1" applyFont="1" applyFill="1" applyBorder="1" applyAlignment="1">
      <alignment horizontal="center" wrapText="1"/>
    </xf>
    <xf numFmtId="164" fontId="0" fillId="12" borderId="0" xfId="1" applyNumberFormat="1" applyFont="1" applyFill="1" applyBorder="1" applyAlignment="1">
      <alignment horizontal="center"/>
    </xf>
    <xf numFmtId="0" fontId="0" fillId="12" borderId="0" xfId="0" applyFill="1"/>
    <xf numFmtId="0" fontId="0" fillId="0" borderId="4" xfId="0" applyBorder="1"/>
    <xf numFmtId="0" fontId="0" fillId="12" borderId="4" xfId="0" applyFill="1" applyBorder="1"/>
    <xf numFmtId="164" fontId="3" fillId="0" borderId="0" xfId="0" applyNumberFormat="1" applyFont="1"/>
    <xf numFmtId="0" fontId="0" fillId="0" borderId="2" xfId="0" applyFill="1" applyBorder="1" applyAlignment="1">
      <alignment wrapText="1"/>
    </xf>
    <xf numFmtId="0" fontId="0" fillId="0" borderId="2" xfId="0" applyFill="1" applyBorder="1"/>
    <xf numFmtId="1" fontId="0" fillId="0" borderId="2" xfId="1" applyNumberFormat="1" applyFont="1" applyFill="1" applyBorder="1" applyAlignment="1">
      <alignment horizontal="right"/>
    </xf>
    <xf numFmtId="164" fontId="0" fillId="12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14" fontId="0" fillId="0" borderId="2" xfId="0" applyNumberFormat="1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quotePrefix="1" applyFill="1" applyAlignment="1">
      <alignment horizontal="center"/>
    </xf>
    <xf numFmtId="0" fontId="23" fillId="0" borderId="0" xfId="0" applyFont="1" applyFill="1" applyAlignment="1">
      <alignment horizontal="center"/>
    </xf>
    <xf numFmtId="1" fontId="0" fillId="0" borderId="0" xfId="0" quotePrefix="1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Border="1" applyAlignment="1">
      <alignment horizontal="left" indent="1"/>
    </xf>
    <xf numFmtId="0" fontId="0" fillId="14" borderId="0" xfId="0" applyFill="1" applyBorder="1"/>
    <xf numFmtId="165" fontId="0" fillId="14" borderId="0" xfId="0" applyNumberFormat="1" applyFont="1" applyFill="1" applyBorder="1" applyAlignment="1">
      <alignment horizontal="center" wrapText="1"/>
    </xf>
    <xf numFmtId="0" fontId="0" fillId="14" borderId="0" xfId="0" applyFill="1" applyBorder="1" applyAlignment="1">
      <alignment wrapText="1"/>
    </xf>
    <xf numFmtId="0" fontId="2" fillId="14" borderId="0" xfId="0" applyFont="1" applyFill="1" applyBorder="1"/>
    <xf numFmtId="0" fontId="0" fillId="14" borderId="0" xfId="0" applyFill="1" applyBorder="1" applyAlignment="1">
      <alignment horizontal="center"/>
    </xf>
    <xf numFmtId="1" fontId="0" fillId="14" borderId="0" xfId="0" applyNumberFormat="1" applyFill="1" applyBorder="1" applyAlignment="1">
      <alignment horizontal="right"/>
    </xf>
    <xf numFmtId="164" fontId="0" fillId="14" borderId="0" xfId="1" applyNumberFormat="1" applyFont="1" applyFill="1" applyBorder="1" applyAlignment="1">
      <alignment horizontal="center"/>
    </xf>
    <xf numFmtId="14" fontId="0" fillId="14" borderId="0" xfId="0" applyNumberFormat="1" applyFill="1" applyBorder="1" applyAlignment="1">
      <alignment horizontal="center"/>
    </xf>
    <xf numFmtId="14" fontId="2" fillId="14" borderId="0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0" fontId="24" fillId="19" borderId="0" xfId="0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24" fillId="15" borderId="0" xfId="0" applyFont="1" applyFill="1" applyAlignment="1">
      <alignment horizontal="center"/>
    </xf>
    <xf numFmtId="0" fontId="24" fillId="12" borderId="0" xfId="0" applyFont="1" applyFill="1" applyAlignment="1">
      <alignment horizontal="center"/>
    </xf>
    <xf numFmtId="0" fontId="24" fillId="16" borderId="0" xfId="0" applyFont="1" applyFill="1" applyAlignment="1">
      <alignment horizontal="center"/>
    </xf>
    <xf numFmtId="0" fontId="24" fillId="17" borderId="0" xfId="0" applyFont="1" applyFill="1" applyAlignment="1">
      <alignment horizontal="center"/>
    </xf>
    <xf numFmtId="0" fontId="24" fillId="18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0" fontId="24" fillId="0" borderId="11" xfId="0" applyFont="1" applyBorder="1"/>
    <xf numFmtId="0" fontId="24" fillId="0" borderId="11" xfId="0" applyFont="1" applyBorder="1" applyAlignment="1">
      <alignment horizontal="center"/>
    </xf>
    <xf numFmtId="0" fontId="24" fillId="13" borderId="11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left"/>
    </xf>
    <xf numFmtId="0" fontId="24" fillId="0" borderId="11" xfId="0" applyFont="1" applyFill="1" applyBorder="1" applyAlignment="1">
      <alignment horizontal="center"/>
    </xf>
    <xf numFmtId="0" fontId="24" fillId="19" borderId="11" xfId="0" applyFont="1" applyFill="1" applyBorder="1" applyAlignment="1">
      <alignment horizontal="center"/>
    </xf>
    <xf numFmtId="0" fontId="24" fillId="15" borderId="11" xfId="0" applyFont="1" applyFill="1" applyBorder="1" applyAlignment="1">
      <alignment horizontal="center"/>
    </xf>
    <xf numFmtId="0" fontId="24" fillId="12" borderId="11" xfId="0" applyFont="1" applyFill="1" applyBorder="1" applyAlignment="1">
      <alignment horizontal="center"/>
    </xf>
    <xf numFmtId="0" fontId="24" fillId="16" borderId="11" xfId="0" applyFont="1" applyFill="1" applyBorder="1" applyAlignment="1">
      <alignment horizontal="center"/>
    </xf>
    <xf numFmtId="0" fontId="24" fillId="17" borderId="11" xfId="0" applyFont="1" applyFill="1" applyBorder="1" applyAlignment="1">
      <alignment horizontal="center"/>
    </xf>
    <xf numFmtId="0" fontId="24" fillId="1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5" fillId="0" borderId="11" xfId="0" applyFont="1" applyBorder="1"/>
    <xf numFmtId="0" fontId="0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4" fillId="0" borderId="0" xfId="0" applyFont="1" applyFill="1"/>
    <xf numFmtId="0" fontId="24" fillId="0" borderId="11" xfId="0" applyFont="1" applyFill="1" applyBorder="1"/>
    <xf numFmtId="0" fontId="24" fillId="0" borderId="12" xfId="0" applyFont="1" applyBorder="1"/>
    <xf numFmtId="0" fontId="25" fillId="0" borderId="12" xfId="0" applyFont="1" applyBorder="1"/>
    <xf numFmtId="0" fontId="24" fillId="0" borderId="12" xfId="0" applyFont="1" applyBorder="1" applyAlignment="1">
      <alignment horizontal="center"/>
    </xf>
    <xf numFmtId="0" fontId="24" fillId="13" borderId="12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/>
    </xf>
    <xf numFmtId="0" fontId="24" fillId="0" borderId="12" xfId="0" applyFont="1" applyFill="1" applyBorder="1" applyAlignment="1">
      <alignment horizontal="center"/>
    </xf>
    <xf numFmtId="0" fontId="24" fillId="19" borderId="12" xfId="0" applyFont="1" applyFill="1" applyBorder="1" applyAlignment="1">
      <alignment horizontal="center"/>
    </xf>
    <xf numFmtId="0" fontId="24" fillId="15" borderId="12" xfId="0" applyFont="1" applyFill="1" applyBorder="1" applyAlignment="1">
      <alignment horizontal="center"/>
    </xf>
    <xf numFmtId="0" fontId="24" fillId="12" borderId="12" xfId="0" applyFont="1" applyFill="1" applyBorder="1" applyAlignment="1">
      <alignment horizontal="center"/>
    </xf>
    <xf numFmtId="0" fontId="24" fillId="16" borderId="12" xfId="0" applyFont="1" applyFill="1" applyBorder="1" applyAlignment="1">
      <alignment horizontal="center"/>
    </xf>
    <xf numFmtId="0" fontId="24" fillId="17" borderId="12" xfId="0" applyFont="1" applyFill="1" applyBorder="1" applyAlignment="1">
      <alignment horizontal="center"/>
    </xf>
    <xf numFmtId="0" fontId="24" fillId="18" borderId="12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Fill="1"/>
    <xf numFmtId="0" fontId="27" fillId="0" borderId="0" xfId="0" applyFont="1" applyAlignment="1">
      <alignment horizontal="center"/>
    </xf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15" borderId="0" xfId="0" applyFont="1" applyFill="1" applyAlignment="1">
      <alignment horizontal="center"/>
    </xf>
    <xf numFmtId="0" fontId="28" fillId="12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5" fillId="13" borderId="11" xfId="0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14" fontId="26" fillId="0" borderId="0" xfId="0" quotePrefix="1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4" fontId="27" fillId="20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4" fillId="15" borderId="0" xfId="0" applyFont="1" applyFill="1" applyAlignment="1">
      <alignment horizontal="center"/>
    </xf>
    <xf numFmtId="0" fontId="24" fillId="12" borderId="0" xfId="0" applyFont="1" applyFill="1" applyAlignment="1">
      <alignment horizontal="center"/>
    </xf>
    <xf numFmtId="0" fontId="24" fillId="16" borderId="0" xfId="0" applyFont="1" applyFill="1" applyAlignment="1">
      <alignment horizontal="center"/>
    </xf>
    <xf numFmtId="0" fontId="24" fillId="19" borderId="0" xfId="0" applyFont="1" applyFill="1" applyAlignment="1">
      <alignment horizontal="center"/>
    </xf>
    <xf numFmtId="0" fontId="24" fillId="17" borderId="0" xfId="0" applyFont="1" applyFill="1" applyAlignment="1">
      <alignment horizontal="center"/>
    </xf>
    <xf numFmtId="0" fontId="24" fillId="18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17" fillId="7" borderId="9" xfId="0" applyFont="1" applyFill="1" applyBorder="1" applyAlignment="1"/>
    <xf numFmtId="0" fontId="17" fillId="7" borderId="11" xfId="0" applyFont="1" applyFill="1" applyBorder="1" applyAlignment="1"/>
    <xf numFmtId="0" fontId="17" fillId="7" borderId="10" xfId="0" applyFont="1" applyFill="1" applyBorder="1" applyAlignment="1"/>
    <xf numFmtId="0" fontId="0" fillId="8" borderId="9" xfId="0" applyFill="1" applyBorder="1" applyAlignment="1"/>
    <xf numFmtId="0" fontId="0" fillId="8" borderId="11" xfId="0" applyFill="1" applyBorder="1" applyAlignment="1"/>
    <xf numFmtId="0" fontId="0" fillId="8" borderId="10" xfId="0" applyFill="1" applyBorder="1" applyAlignment="1"/>
    <xf numFmtId="14" fontId="23" fillId="0" borderId="0" xfId="0" applyNumberFormat="1" applyFont="1" applyFill="1" applyBorder="1" applyAlignment="1">
      <alignment horizontal="center"/>
    </xf>
    <xf numFmtId="14" fontId="23" fillId="0" borderId="0" xfId="0" quotePrefix="1" applyNumberFormat="1" applyFont="1" applyFill="1" applyBorder="1" applyAlignment="1">
      <alignment horizontal="center"/>
    </xf>
    <xf numFmtId="0" fontId="18" fillId="9" borderId="11" xfId="0" quotePrefix="1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6" fillId="3" borderId="0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7" fillId="7" borderId="11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0" fillId="2" borderId="17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0" xfId="0" applyFont="1" applyFill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15" borderId="0" xfId="0" applyFont="1" applyFill="1" applyAlignment="1">
      <alignment horizontal="center"/>
    </xf>
    <xf numFmtId="0" fontId="24" fillId="12" borderId="0" xfId="0" applyFont="1" applyFill="1" applyAlignment="1">
      <alignment horizontal="center"/>
    </xf>
    <xf numFmtId="0" fontId="24" fillId="16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27" fillId="19" borderId="0" xfId="0" applyFont="1" applyFill="1" applyAlignment="1">
      <alignment horizontal="center"/>
    </xf>
    <xf numFmtId="0" fontId="24" fillId="19" borderId="0" xfId="0" applyFont="1" applyFill="1" applyAlignment="1">
      <alignment horizontal="center"/>
    </xf>
    <xf numFmtId="0" fontId="24" fillId="19" borderId="2" xfId="0" applyFont="1" applyFill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24" fillId="18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7" fillId="13" borderId="0" xfId="0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24" fillId="13" borderId="2" xfId="0" applyFont="1" applyFill="1" applyBorder="1" applyAlignment="1">
      <alignment horizontal="center"/>
    </xf>
    <xf numFmtId="0" fontId="0" fillId="19" borderId="0" xfId="0" applyFill="1" applyBorder="1"/>
    <xf numFmtId="0" fontId="0" fillId="21" borderId="0" xfId="0" applyFill="1" applyBorder="1"/>
    <xf numFmtId="0" fontId="0" fillId="22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8"/>
  <sheetViews>
    <sheetView workbookViewId="0">
      <selection activeCell="G10" sqref="G10"/>
    </sheetView>
  </sheetViews>
  <sheetFormatPr defaultRowHeight="15" x14ac:dyDescent="0.25"/>
  <cols>
    <col min="1" max="1" width="3.42578125" customWidth="1"/>
    <col min="2" max="2" width="53.85546875" customWidth="1"/>
    <col min="3" max="8" width="16.140625" customWidth="1"/>
    <col min="9" max="9" width="18.5703125" customWidth="1"/>
    <col min="10" max="10" width="14.28515625" customWidth="1"/>
    <col min="11" max="12" width="13.140625" customWidth="1"/>
  </cols>
  <sheetData>
    <row r="2" spans="2:10" ht="18.75" x14ac:dyDescent="0.3">
      <c r="B2" s="249" t="s">
        <v>0</v>
      </c>
      <c r="C2" s="249"/>
      <c r="D2" s="249"/>
      <c r="E2" s="249"/>
      <c r="F2" s="249"/>
      <c r="G2" s="249"/>
      <c r="H2" s="249"/>
      <c r="I2" s="6"/>
      <c r="J2" s="6"/>
    </row>
    <row r="3" spans="2:10" s="52" customFormat="1" ht="22.5" customHeight="1" x14ac:dyDescent="0.3">
      <c r="B3" s="63" t="s">
        <v>1</v>
      </c>
      <c r="C3" s="245" t="s">
        <v>2</v>
      </c>
      <c r="D3" s="245"/>
      <c r="E3" s="246" t="s">
        <v>3</v>
      </c>
      <c r="F3" s="246"/>
      <c r="G3" s="246" t="s">
        <v>4</v>
      </c>
      <c r="H3" s="247"/>
      <c r="I3" s="248"/>
      <c r="J3" s="248"/>
    </row>
    <row r="4" spans="2:10" s="52" customFormat="1" ht="22.5" customHeight="1" x14ac:dyDescent="0.3">
      <c r="B4" s="76"/>
      <c r="C4" s="77" t="s">
        <v>5</v>
      </c>
      <c r="D4" s="78" t="s">
        <v>6</v>
      </c>
      <c r="E4" s="77" t="s">
        <v>5</v>
      </c>
      <c r="F4" s="78" t="s">
        <v>6</v>
      </c>
      <c r="G4" s="77" t="s">
        <v>5</v>
      </c>
      <c r="H4" s="78" t="s">
        <v>6</v>
      </c>
      <c r="I4" s="53"/>
      <c r="J4" s="11"/>
    </row>
    <row r="5" spans="2:10" s="52" customFormat="1" ht="22.5" customHeight="1" x14ac:dyDescent="0.3">
      <c r="B5" s="31" t="s">
        <v>7</v>
      </c>
      <c r="C5" s="54">
        <f>SUMIFS('All Cargo to NPX'!G2:G86, 'All Cargo to NPX'!AH2:AH86, "McMurdo", 'All Cargo to NPX'!AJ2:AJ86, "Indoor, Heated", 'All Cargo to NPX'!AI2:AI86, "Winter 2020")</f>
        <v>0</v>
      </c>
      <c r="D5" s="55">
        <f>SUMIFS('All Cargo to NPX'!K2:K86, 'All Cargo to NPX'!AH2:AH86, "McMurdo", 'All Cargo to NPX'!AJ2:AJ86, "Indoor, Heated", 'All Cargo to NPX'!AI2:AI86, "Winter 2020")</f>
        <v>0</v>
      </c>
      <c r="E5" s="54">
        <f>SUMIFS('All Cargo to NPX'!G2:G86, 'All Cargo to NPX'!AH2:AH86, "McMurdo", 'All Cargo to NPX'!AJ2:AJ86, "Indoor, Heated", 'All Cargo to NPX'!AI2:AI86, "Winter 2021")</f>
        <v>0</v>
      </c>
      <c r="F5" s="55">
        <f>SUMIFS('All Cargo to NPX'!K2:K86, 'All Cargo to NPX'!AH2:AH86, "McMurdo", 'All Cargo to NPX'!AJ2:AJ86, "Indoor, Heated", 'All Cargo to NPX'!AI2:AI86, "Winter 2021")</f>
        <v>0</v>
      </c>
      <c r="G5" s="54">
        <f>SUMIFS('All Cargo to NPX'!G2:G86, 'All Cargo to NPX'!AH2:AH86, "McMurdo", 'All Cargo to NPX'!AJ2:AJ86, "Indoor, Heated", 'All Cargo to NPX'!AI2:AI86, "Winter 2022")</f>
        <v>1800</v>
      </c>
      <c r="H5" s="55">
        <f>SUMIFS('All Cargo to NPX'!K2:K86, 'All Cargo to NPX'!AH2:AH86, "McMurdo", 'All Cargo to NPX'!AJ2:AJ86, "Indoor, Heated", 'All Cargo to NPX'!AI2:AI86, "Winter 2022")</f>
        <v>192</v>
      </c>
      <c r="I5" s="56"/>
      <c r="J5" s="56"/>
    </row>
    <row r="6" spans="2:10" s="52" customFormat="1" ht="22.5" customHeight="1" x14ac:dyDescent="0.3">
      <c r="B6" s="31" t="s">
        <v>8</v>
      </c>
      <c r="C6" s="54">
        <f>SUMIFS('All Cargo to NPX'!G2:G86, 'All Cargo to NPX'!AH2:AH86, "McMurdo", 'All Cargo to NPX'!AJ2:AJ86, "Indoor, Unheated", 'All Cargo to NPX'!AI2:AI86, "Winter 2020")</f>
        <v>0</v>
      </c>
      <c r="D6" s="55">
        <f>SUMIFS('All Cargo to NPX'!K2:K86, 'All Cargo to NPX'!AH2:AH86, "McMurdo", 'All Cargo to NPX'!AJ2:AJ86, "Indoor, Unheated", 'All Cargo to NPX'!AI2:AI86, "Winter 2020")</f>
        <v>0</v>
      </c>
      <c r="E6" s="54">
        <f>SUMIFS('All Cargo to NPX'!G2:G86, 'All Cargo to NPX'!AH2:AH86, "McMurdo", 'All Cargo to NPX'!AJ2:AJ86, "Indoor, Unheated", 'All Cargo to NPX'!AI2:AI86, "Winter 2021")</f>
        <v>0</v>
      </c>
      <c r="F6" s="55">
        <f>SUMIFS('All Cargo to NPX'!K2:K86, 'All Cargo to NPX'!AH2:AH86, "McMurdo", 'All Cargo to NPX'!AJ2:AJ86, "Indoor, Unheated", 'All Cargo to NPX'!AI2:AI86, "Winter 2021")</f>
        <v>0</v>
      </c>
      <c r="G6" s="54">
        <f>SUMIFS('All Cargo to NPX'!G2:G86, 'All Cargo to NPX'!AH2:AH86, "McMurdo", 'All Cargo to NPX'!AJ2:AJ86, "Indoor, Unheated", 'All Cargo to NPX'!AI2:AI86, "Winter 2022")</f>
        <v>0</v>
      </c>
      <c r="H6" s="55">
        <f>SUMIFS('All Cargo to NPX'!K2:K86, 'All Cargo to NPX'!AH2:AH86, "McMurdo", 'All Cargo to NPX'!AJ2:AJ86, "Indoor, Unheated", 'All Cargo to NPX'!AI2:AI86, "Winter 2022")</f>
        <v>0</v>
      </c>
      <c r="I6" s="56"/>
      <c r="J6" s="56"/>
    </row>
    <row r="7" spans="2:10" s="52" customFormat="1" ht="22.5" customHeight="1" x14ac:dyDescent="0.3">
      <c r="B7" s="32" t="s">
        <v>9</v>
      </c>
      <c r="C7" s="57">
        <f>SUMIFS('All Cargo to NPX'!G2:G86, 'All Cargo to NPX'!AH2:AH86, "McMurdo", 'All Cargo to NPX'!AJ2:AJ86, "Outdoor", 'All Cargo to NPX'!AI2:AI86, "Winter 2020")</f>
        <v>173440</v>
      </c>
      <c r="D7" s="58">
        <f>SUMIFS('All Cargo to NPX'!K2:K86, 'All Cargo to NPX'!AH2:AH86, "McMurdo", 'All Cargo to NPX'!AJ2:AJ86, "Outdoor", 'All Cargo to NPX'!AI2:AI86, "Winter 2020")</f>
        <v>15536.956597222221</v>
      </c>
      <c r="E7" s="57">
        <f>SUMIFS('All Cargo to NPX'!G2:G86, 'All Cargo to NPX'!AH2:AH86, "McMurdo", 'All Cargo to NPX'!AJ2:AJ86, "Outdoor", 'All Cargo to NPX'!AI2:AI86, "Winter 2021")</f>
        <v>32400</v>
      </c>
      <c r="F7" s="58">
        <f>SUMIFS('All Cargo to NPX'!K2:K86, 'All Cargo to NPX'!AH2:AH86, "McMurdo", 'All Cargo to NPX'!AJ2:AJ86, "Outdoor", 'All Cargo to NPX'!AI2:AI86, "Winter 2021")</f>
        <v>3272</v>
      </c>
      <c r="G7" s="57">
        <f>SUMIFS('All Cargo to NPX'!G2:G86, 'All Cargo to NPX'!AH2:AH86, "McMurdo", 'All Cargo to NPX'!AJ2:AJ86, "Outdoor", 'All Cargo to NPX'!AI2:AI86, "Winter 2022")</f>
        <v>87500</v>
      </c>
      <c r="H7" s="58">
        <f>SUMIFS('All Cargo to NPX'!K2:K86, 'All Cargo to NPX'!AH2:AH86, "McMurdo", 'All Cargo to NPX'!AJ2:AJ86, "Outdoor", 'All Cargo to NPX'!AI2:AI86, "Winter 2022")</f>
        <v>3257.473958333333</v>
      </c>
      <c r="I7" s="56"/>
      <c r="J7" s="56"/>
    </row>
    <row r="8" spans="2:10" s="52" customFormat="1" ht="22.5" customHeight="1" x14ac:dyDescent="0.3">
      <c r="B8" s="31" t="s">
        <v>10</v>
      </c>
      <c r="C8" s="59">
        <f>SUM(C5:C7)</f>
        <v>173440</v>
      </c>
      <c r="D8" s="60">
        <f t="shared" ref="D8:H8" si="0">SUM(D5:D7)</f>
        <v>15536.956597222221</v>
      </c>
      <c r="E8" s="59">
        <f t="shared" si="0"/>
        <v>32400</v>
      </c>
      <c r="F8" s="60">
        <f t="shared" si="0"/>
        <v>3272</v>
      </c>
      <c r="G8" s="59">
        <f t="shared" si="0"/>
        <v>89300</v>
      </c>
      <c r="H8" s="60">
        <f t="shared" si="0"/>
        <v>3449.473958333333</v>
      </c>
      <c r="I8" s="56"/>
      <c r="J8" s="56"/>
    </row>
    <row r="9" spans="2:10" s="52" customFormat="1" ht="22.5" customHeight="1" x14ac:dyDescent="0.3">
      <c r="B9" s="34"/>
      <c r="C9" s="61"/>
      <c r="D9" s="62"/>
      <c r="E9" s="61"/>
      <c r="F9" s="62"/>
      <c r="G9" s="61"/>
      <c r="H9" s="62"/>
      <c r="I9" s="56"/>
      <c r="J9" s="56"/>
    </row>
    <row r="10" spans="2:10" s="52" customFormat="1" ht="22.5" customHeight="1" x14ac:dyDescent="0.3">
      <c r="B10" s="31" t="s">
        <v>11</v>
      </c>
      <c r="C10" s="54">
        <f>SUMIFS('All Cargo to NPX'!G2:G86, 'All Cargo to NPX'!AH2:AH86, "South Pole", 'All Cargo to NPX'!AJ2:AJ86, "Indoor, Heated", 'All Cargo to NPX'!AI2:AI86, "Winter 2020")</f>
        <v>0</v>
      </c>
      <c r="D10" s="55">
        <f>SUMIFS('All Cargo to NPX'!K2:K86, 'All Cargo to NPX'!AH2:AH86, "South Pole", 'All Cargo to NPX'!AJ2:AJ86, "Indoor, Heated", 'All Cargo to NPX'!AI2:AI86, "Winter 2020")</f>
        <v>0</v>
      </c>
      <c r="E10" s="54">
        <f>SUMIFS('All Cargo to NPX'!G2:G86, 'All Cargo to NPX'!AH2:AH86, "South Pole", 'All Cargo to NPX'!AJ2:AJ86, "Indoor, Heated", 'All Cargo to NPX'!AI2:AI86, "Winter 2021")</f>
        <v>0</v>
      </c>
      <c r="F10" s="55">
        <f>SUMIFS('All Cargo to NPX'!K2:K86, 'All Cargo to NPX'!AH2:AH86, "South Pole", 'All Cargo to NPX'!AJ2:AJ86, "Indoor, Heated", 'All Cargo to NPX'!AI2:AI86, "Winter 2021")</f>
        <v>0</v>
      </c>
      <c r="G10" s="54">
        <f>SUMIFS('All Cargo to NPX'!G2:G86, 'All Cargo to NPX'!AH2:AH86, "South Pole", 'All Cargo to NPX'!AJ2:AJ86, "Indoor, Heated", 'All Cargo to NPX'!AI2:AI86, "Winter 2022")</f>
        <v>12150</v>
      </c>
      <c r="H10" s="55">
        <f>SUMIFS('All Cargo to NPX'!K2:K86, 'All Cargo to NPX'!AH2:AH86, "South Pole", 'All Cargo to NPX'!AJ2:AJ86, "Indoor, Heated", 'All Cargo to NPX'!AI2:AI86, "Winter 2022")</f>
        <v>1974.7152777777778</v>
      </c>
      <c r="I10" s="56"/>
      <c r="J10" s="56"/>
    </row>
    <row r="11" spans="2:10" s="52" customFormat="1" ht="22.5" customHeight="1" x14ac:dyDescent="0.3">
      <c r="B11" s="33" t="s">
        <v>12</v>
      </c>
      <c r="C11" s="54">
        <f>SUMIFS('All Cargo to NPX'!G2:G86, 'All Cargo to NPX'!AH2:AH86, "South Pole", 'All Cargo to NPX'!AJ2:AJ86, "Indoor, Unheated", 'All Cargo to NPX'!AI2:AI86, "Winter 2020")</f>
        <v>0</v>
      </c>
      <c r="D11" s="55">
        <f>SUMIFS('All Cargo to NPX'!K2:K86, 'All Cargo to NPX'!AH2:AH86, "South Pole", 'All Cargo to NPX'!AJ2:AJ86, "Indoor, Unheated", 'All Cargo to NPX'!AI2:AI86, "Winter 2020")</f>
        <v>0</v>
      </c>
      <c r="E11" s="54">
        <f>SUMIFS('All Cargo to NPX'!G2:G86, 'All Cargo to NPX'!AH2:AH86, "South Pole", 'All Cargo to NPX'!AJ2:AJ86, "Indoor, Unheated", 'All Cargo to NPX'!AI2:AI86, "Winter 2021")</f>
        <v>0</v>
      </c>
      <c r="F11" s="55">
        <f>SUMIFS('All Cargo to NPX'!K2:K86, 'All Cargo to NPX'!AH2:AH86, "South Pole", 'All Cargo to NPX'!AJ2:AJ86, "Indoor, Unheated", 'All Cargo to NPX'!AI2:AI86, "Winter 2021")</f>
        <v>0</v>
      </c>
      <c r="G11" s="54">
        <f>SUMIFS('All Cargo to NPX'!G2:G86, 'All Cargo to NPX'!AH2:AH86, "South Pole", 'All Cargo to NPX'!AJ2:AJ86, "Indoor, Unheated", 'All Cargo to NPX'!AI2:AI86, "Winter 2022")</f>
        <v>0</v>
      </c>
      <c r="H11" s="55">
        <f>SUMIFS('All Cargo to NPX'!K2:K86, 'All Cargo to NPX'!AH2:AH86, "South Pole", 'All Cargo to NPX'!AJ2:AJ86, "Indoor, Unheated", 'All Cargo to NPX'!AI2:AI86, "Winter 2022")</f>
        <v>0</v>
      </c>
      <c r="I11" s="56"/>
      <c r="J11" s="56"/>
    </row>
    <row r="12" spans="2:10" s="52" customFormat="1" ht="22.5" customHeight="1" x14ac:dyDescent="0.3">
      <c r="B12" s="32" t="s">
        <v>13</v>
      </c>
      <c r="C12" s="57">
        <f>SUMIFS('All Cargo to NPX'!G2:G86, 'All Cargo to NPX'!AH2:AH86, "South Pole", 'All Cargo to NPX'!AJ2:AJ86, "Outdoor", 'All Cargo to NPX'!AI2:AI86, "Winter 2020")</f>
        <v>0</v>
      </c>
      <c r="D12" s="58">
        <f>SUMIFS('All Cargo to NPX'!K2:K86, 'All Cargo to NPX'!AH2:AH86, "South Pole", 'All Cargo to NPX'!AJ2:AJ86, "Outdoor", 'All Cargo to NPX'!AI2:AI86, "Winter 2020")</f>
        <v>0</v>
      </c>
      <c r="E12" s="57">
        <f>SUMIFS('All Cargo to NPX'!G2:G86, 'All Cargo to NPX'!AH2:AH86, "South Pole", 'All Cargo to NPX'!AJ2:AJ86, "Outdoor", 'All Cargo to NPX'!AI2:AI86, "Winter 2021")</f>
        <v>0</v>
      </c>
      <c r="F12" s="58">
        <f>SUMIFS('All Cargo to NPX'!K2:K86, 'All Cargo to NPX'!AH2:AH86, "South Pole", 'All Cargo to NPX'!AJ2:AJ86, "Outdoor", 'All Cargo to NPX'!AI2:AI86, "Winter 2021")</f>
        <v>0</v>
      </c>
      <c r="G12" s="57">
        <f>SUMIFS('All Cargo to NPX'!G2:G86, 'All Cargo to NPX'!AH2:AH86, "South Pole", 'All Cargo to NPX'!AJ2:AJ86, "Outdoor", 'All Cargo to NPX'!AI2:AI86, "Winter 2022")</f>
        <v>5000</v>
      </c>
      <c r="H12" s="58">
        <f>SUMIFS('All Cargo to NPX'!K2:K86, 'All Cargo to NPX'!AH2:AH86, "South Pole", 'All Cargo to NPX'!AJ2:AJ86, "Outdoor", 'All Cargo to NPX'!AI2:AI86, "Winter 2022")</f>
        <v>352</v>
      </c>
      <c r="I12" s="56"/>
      <c r="J12" s="56"/>
    </row>
    <row r="13" spans="2:10" s="52" customFormat="1" ht="22.5" customHeight="1" x14ac:dyDescent="0.3">
      <c r="B13" s="31" t="s">
        <v>14</v>
      </c>
      <c r="C13" s="59">
        <f t="shared" ref="C13:H13" si="1">SUM(C10:C12)</f>
        <v>0</v>
      </c>
      <c r="D13" s="60">
        <f t="shared" si="1"/>
        <v>0</v>
      </c>
      <c r="E13" s="59">
        <f t="shared" si="1"/>
        <v>0</v>
      </c>
      <c r="F13" s="60">
        <f t="shared" si="1"/>
        <v>0</v>
      </c>
      <c r="G13" s="59">
        <f t="shared" si="1"/>
        <v>17150</v>
      </c>
      <c r="H13" s="60">
        <f t="shared" si="1"/>
        <v>2326.7152777777778</v>
      </c>
      <c r="I13" s="56"/>
      <c r="J13" s="56"/>
    </row>
    <row r="14" spans="2:10" s="52" customFormat="1" ht="22.5" customHeight="1" x14ac:dyDescent="0.3">
      <c r="B14" s="34"/>
      <c r="C14" s="61"/>
      <c r="D14" s="62"/>
      <c r="E14" s="61"/>
      <c r="F14" s="62"/>
      <c r="G14" s="61"/>
      <c r="H14" s="62"/>
      <c r="I14" s="56"/>
      <c r="J14" s="56"/>
    </row>
    <row r="15" spans="2:10" x14ac:dyDescent="0.25">
      <c r="H15" s="30">
        <v>43665</v>
      </c>
      <c r="I15" s="6"/>
      <c r="J15" s="6"/>
    </row>
    <row r="16" spans="2:10" x14ac:dyDescent="0.25">
      <c r="B16" s="35" t="s">
        <v>15</v>
      </c>
      <c r="I16" s="6"/>
      <c r="J16" s="6"/>
    </row>
    <row r="17" spans="2:2" x14ac:dyDescent="0.25">
      <c r="B17" t="s">
        <v>16</v>
      </c>
    </row>
    <row r="18" spans="2:2" x14ac:dyDescent="0.25">
      <c r="B18" t="s">
        <v>17</v>
      </c>
    </row>
  </sheetData>
  <mergeCells count="5">
    <mergeCell ref="C3:D3"/>
    <mergeCell ref="E3:F3"/>
    <mergeCell ref="G3:H3"/>
    <mergeCell ref="I3:J3"/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C19" sqref="C19"/>
    </sheetView>
  </sheetViews>
  <sheetFormatPr defaultRowHeight="15" x14ac:dyDescent="0.25"/>
  <cols>
    <col min="1" max="1" width="14.42578125" style="148" customWidth="1"/>
    <col min="2" max="3" width="12.42578125" customWidth="1"/>
    <col min="4" max="5" width="15.7109375" style="15" customWidth="1"/>
    <col min="6" max="6" width="50.7109375" customWidth="1"/>
  </cols>
  <sheetData>
    <row r="1" spans="1:6" s="37" customFormat="1" x14ac:dyDescent="0.25">
      <c r="A1" s="149" t="s">
        <v>18</v>
      </c>
      <c r="B1" s="37" t="s">
        <v>19</v>
      </c>
      <c r="C1" s="37" t="s">
        <v>20</v>
      </c>
      <c r="D1" s="223" t="s">
        <v>21</v>
      </c>
      <c r="E1" s="223" t="s">
        <v>22</v>
      </c>
      <c r="F1" s="37" t="s">
        <v>23</v>
      </c>
    </row>
    <row r="2" spans="1:6" x14ac:dyDescent="0.25">
      <c r="A2" s="147">
        <v>43729</v>
      </c>
      <c r="B2" t="s">
        <v>24</v>
      </c>
      <c r="C2" t="s">
        <v>25</v>
      </c>
      <c r="D2" s="15">
        <v>9313</v>
      </c>
      <c r="F2" t="s">
        <v>26</v>
      </c>
    </row>
    <row r="3" spans="1:6" x14ac:dyDescent="0.25">
      <c r="A3" s="147">
        <v>43729</v>
      </c>
      <c r="B3" t="s">
        <v>27</v>
      </c>
      <c r="C3" t="s">
        <v>28</v>
      </c>
      <c r="D3" s="15">
        <v>9313</v>
      </c>
      <c r="F3" t="s">
        <v>29</v>
      </c>
    </row>
    <row r="4" spans="1:6" x14ac:dyDescent="0.25">
      <c r="A4" s="147">
        <v>43729</v>
      </c>
      <c r="B4" t="s">
        <v>30</v>
      </c>
      <c r="C4" t="s">
        <v>28</v>
      </c>
      <c r="D4" s="15">
        <v>9313</v>
      </c>
      <c r="F4" t="s">
        <v>31</v>
      </c>
    </row>
    <row r="5" spans="1:6" x14ac:dyDescent="0.25">
      <c r="A5" s="147">
        <v>43729</v>
      </c>
      <c r="B5" t="s">
        <v>32</v>
      </c>
      <c r="C5" t="s">
        <v>28</v>
      </c>
      <c r="E5" s="15">
        <v>9327</v>
      </c>
      <c r="F5" t="s">
        <v>33</v>
      </c>
    </row>
    <row r="6" spans="1:6" x14ac:dyDescent="0.25">
      <c r="A6" s="147">
        <v>43729</v>
      </c>
      <c r="B6" t="s">
        <v>34</v>
      </c>
      <c r="C6" t="s">
        <v>25</v>
      </c>
      <c r="E6" s="15">
        <v>9327</v>
      </c>
      <c r="F6" t="s">
        <v>35</v>
      </c>
    </row>
    <row r="7" spans="1:6" x14ac:dyDescent="0.25">
      <c r="A7" s="147"/>
    </row>
    <row r="8" spans="1:6" x14ac:dyDescent="0.25">
      <c r="A8" s="147">
        <v>43734</v>
      </c>
      <c r="B8" t="s">
        <v>36</v>
      </c>
      <c r="C8" t="s">
        <v>25</v>
      </c>
      <c r="E8" s="15">
        <v>9320</v>
      </c>
      <c r="F8" t="s">
        <v>37</v>
      </c>
    </row>
    <row r="9" spans="1:6" x14ac:dyDescent="0.25">
      <c r="A9" s="147">
        <v>43734</v>
      </c>
      <c r="B9" t="s">
        <v>38</v>
      </c>
      <c r="C9" t="s">
        <v>25</v>
      </c>
      <c r="E9" s="15">
        <v>9320</v>
      </c>
      <c r="F9" t="s">
        <v>39</v>
      </c>
    </row>
    <row r="10" spans="1:6" x14ac:dyDescent="0.25">
      <c r="A10" s="147">
        <v>43734</v>
      </c>
      <c r="B10" t="s">
        <v>40</v>
      </c>
      <c r="C10" t="s">
        <v>25</v>
      </c>
      <c r="E10" s="15">
        <v>9320</v>
      </c>
      <c r="F10" t="s">
        <v>41</v>
      </c>
    </row>
    <row r="11" spans="1:6" x14ac:dyDescent="0.25">
      <c r="A11" s="147">
        <v>43734</v>
      </c>
      <c r="B11" t="s">
        <v>42</v>
      </c>
      <c r="C11" t="s">
        <v>25</v>
      </c>
      <c r="E11" s="15">
        <v>9320</v>
      </c>
      <c r="F11" t="s">
        <v>43</v>
      </c>
    </row>
    <row r="12" spans="1:6" x14ac:dyDescent="0.25">
      <c r="A12" s="147">
        <v>43734</v>
      </c>
      <c r="B12" t="s">
        <v>44</v>
      </c>
      <c r="C12" t="s">
        <v>25</v>
      </c>
      <c r="E12" s="15">
        <v>9320</v>
      </c>
      <c r="F12" t="s">
        <v>43</v>
      </c>
    </row>
    <row r="13" spans="1:6" x14ac:dyDescent="0.25">
      <c r="A13" s="147">
        <v>43734</v>
      </c>
      <c r="B13" t="s">
        <v>45</v>
      </c>
      <c r="C13" t="s">
        <v>25</v>
      </c>
      <c r="E13" s="15">
        <v>9320</v>
      </c>
      <c r="F13" s="37" t="s">
        <v>46</v>
      </c>
    </row>
    <row r="14" spans="1:6" x14ac:dyDescent="0.25">
      <c r="A14" s="147">
        <v>43734</v>
      </c>
      <c r="B14" t="s">
        <v>47</v>
      </c>
      <c r="C14" t="s">
        <v>28</v>
      </c>
      <c r="E14" s="15">
        <v>9320</v>
      </c>
      <c r="F14" t="s">
        <v>48</v>
      </c>
    </row>
    <row r="15" spans="1:6" x14ac:dyDescent="0.25">
      <c r="A15" s="147">
        <v>43734</v>
      </c>
      <c r="B15" t="s">
        <v>49</v>
      </c>
      <c r="C15" t="s">
        <v>28</v>
      </c>
      <c r="E15" s="15">
        <v>9320</v>
      </c>
      <c r="F1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5"/>
  <sheetViews>
    <sheetView workbookViewId="0">
      <pane ySplit="1" topLeftCell="A10" activePane="bottomLeft" state="frozen"/>
      <selection pane="bottomLeft" activeCell="AP15" sqref="AP15"/>
    </sheetView>
  </sheetViews>
  <sheetFormatPr defaultRowHeight="15" x14ac:dyDescent="0.25"/>
  <cols>
    <col min="1" max="1" width="11.5703125" customWidth="1"/>
    <col min="2" max="2" width="42.42578125" bestFit="1" customWidth="1"/>
    <col min="6" max="6" width="6.42578125" bestFit="1" customWidth="1"/>
    <col min="7" max="7" width="7.5703125" bestFit="1" customWidth="1"/>
    <col min="8" max="8" width="6.85546875" bestFit="1" customWidth="1"/>
    <col min="10" max="10" width="11.5703125" bestFit="1" customWidth="1"/>
    <col min="14" max="14" width="10.7109375" bestFit="1" customWidth="1"/>
    <col min="15" max="15" width="6.140625" bestFit="1" customWidth="1"/>
    <col min="16" max="16" width="11.140625" bestFit="1" customWidth="1"/>
    <col min="17" max="17" width="9.85546875" bestFit="1" customWidth="1"/>
    <col min="18" max="18" width="10.85546875" bestFit="1" customWidth="1"/>
    <col min="20" max="20" width="12.42578125" bestFit="1" customWidth="1"/>
    <col min="21" max="21" width="11.42578125" bestFit="1" customWidth="1"/>
    <col min="22" max="22" width="10.85546875" bestFit="1" customWidth="1"/>
    <col min="24" max="24" width="10.85546875" bestFit="1" customWidth="1"/>
    <col min="27" max="27" width="10.85546875" bestFit="1" customWidth="1"/>
    <col min="28" max="28" width="9.85546875" bestFit="1" customWidth="1"/>
    <col min="29" max="29" width="10.7109375" bestFit="1" customWidth="1"/>
    <col min="30" max="30" width="11.7109375" bestFit="1" customWidth="1"/>
    <col min="31" max="31" width="14.5703125" bestFit="1" customWidth="1"/>
    <col min="32" max="32" width="28.140625" bestFit="1" customWidth="1"/>
  </cols>
  <sheetData>
    <row r="1" spans="1:32" s="18" customFormat="1" ht="16.5" customHeight="1" x14ac:dyDescent="0.25">
      <c r="A1" s="19" t="s">
        <v>51</v>
      </c>
      <c r="B1" s="18" t="s">
        <v>52</v>
      </c>
      <c r="C1" s="19" t="s">
        <v>53</v>
      </c>
      <c r="D1" s="20" t="s">
        <v>54</v>
      </c>
      <c r="E1" s="131" t="s">
        <v>55</v>
      </c>
      <c r="F1" s="21" t="s">
        <v>56</v>
      </c>
      <c r="G1" s="21" t="s">
        <v>57</v>
      </c>
      <c r="H1" s="21" t="s">
        <v>58</v>
      </c>
      <c r="I1" s="131" t="s">
        <v>59</v>
      </c>
      <c r="J1" s="82" t="s">
        <v>60</v>
      </c>
      <c r="K1" s="19" t="s">
        <v>61</v>
      </c>
      <c r="L1" s="19" t="s">
        <v>62</v>
      </c>
      <c r="M1" s="19" t="s">
        <v>63</v>
      </c>
      <c r="N1" s="19" t="s">
        <v>64</v>
      </c>
      <c r="O1" s="19" t="s">
        <v>65</v>
      </c>
      <c r="P1" s="19" t="s">
        <v>66</v>
      </c>
      <c r="Q1" s="22" t="s">
        <v>67</v>
      </c>
      <c r="R1" s="22" t="s">
        <v>68</v>
      </c>
      <c r="S1" s="22" t="s">
        <v>69</v>
      </c>
      <c r="T1" s="22" t="s">
        <v>70</v>
      </c>
      <c r="U1" s="19" t="s">
        <v>71</v>
      </c>
      <c r="V1" s="22" t="s">
        <v>72</v>
      </c>
      <c r="W1" s="19" t="s">
        <v>73</v>
      </c>
      <c r="X1" s="83" t="s">
        <v>74</v>
      </c>
      <c r="Y1" s="19" t="s">
        <v>75</v>
      </c>
      <c r="Z1" s="82" t="s">
        <v>76</v>
      </c>
      <c r="AA1" s="19" t="s">
        <v>77</v>
      </c>
      <c r="AB1" s="19" t="s">
        <v>78</v>
      </c>
      <c r="AC1" s="80" t="s">
        <v>79</v>
      </c>
      <c r="AD1" s="81" t="s">
        <v>80</v>
      </c>
      <c r="AE1" s="80" t="s">
        <v>81</v>
      </c>
    </row>
    <row r="2" spans="1:32" s="8" customFormat="1" ht="30" customHeight="1" x14ac:dyDescent="0.25">
      <c r="A2" s="12" t="s">
        <v>82</v>
      </c>
      <c r="B2" s="8" t="s">
        <v>83</v>
      </c>
      <c r="C2" s="1">
        <v>4</v>
      </c>
      <c r="D2" s="2">
        <v>4800</v>
      </c>
      <c r="E2" s="132">
        <f t="shared" ref="E2:E12" si="0">C2*D2</f>
        <v>19200</v>
      </c>
      <c r="F2" s="3">
        <v>96</v>
      </c>
      <c r="G2" s="3">
        <v>96</v>
      </c>
      <c r="H2" s="3">
        <v>72</v>
      </c>
      <c r="I2" s="132">
        <f t="shared" ref="I2:I12" si="1">((F2*G2*H2)/1728)*C2</f>
        <v>1536</v>
      </c>
      <c r="J2" s="1" t="s">
        <v>84</v>
      </c>
      <c r="K2" s="1"/>
      <c r="L2" s="1"/>
      <c r="M2" s="1"/>
      <c r="N2" s="1" t="s">
        <v>85</v>
      </c>
      <c r="O2" s="1" t="s">
        <v>86</v>
      </c>
      <c r="P2" s="1" t="s">
        <v>87</v>
      </c>
      <c r="Q2" s="4">
        <v>44136</v>
      </c>
      <c r="R2" s="4">
        <v>44146</v>
      </c>
      <c r="S2" s="94">
        <f t="shared" ref="S2" si="2">R2-Q2</f>
        <v>10</v>
      </c>
      <c r="T2" s="36" t="s">
        <v>88</v>
      </c>
      <c r="U2" s="36" t="s">
        <v>88</v>
      </c>
      <c r="V2" s="4">
        <v>44228</v>
      </c>
      <c r="W2" s="95" t="s">
        <v>89</v>
      </c>
      <c r="X2" s="5">
        <v>44597</v>
      </c>
      <c r="Z2" s="1" t="s">
        <v>86</v>
      </c>
      <c r="AA2" s="45">
        <v>44597</v>
      </c>
      <c r="AB2" s="45">
        <v>44896</v>
      </c>
      <c r="AC2" s="8" t="s">
        <v>90</v>
      </c>
      <c r="AD2" s="45" t="s">
        <v>4</v>
      </c>
      <c r="AE2" s="8" t="s">
        <v>91</v>
      </c>
      <c r="AF2" s="250" t="s">
        <v>92</v>
      </c>
    </row>
    <row r="3" spans="1:32" s="8" customFormat="1" ht="30" customHeight="1" x14ac:dyDescent="0.25">
      <c r="A3" s="12" t="s">
        <v>82</v>
      </c>
      <c r="B3" s="8" t="s">
        <v>93</v>
      </c>
      <c r="C3" s="1">
        <v>8</v>
      </c>
      <c r="D3" s="2">
        <v>4800</v>
      </c>
      <c r="E3" s="132">
        <f t="shared" si="0"/>
        <v>38400</v>
      </c>
      <c r="F3" s="3">
        <v>96</v>
      </c>
      <c r="G3" s="3">
        <v>96</v>
      </c>
      <c r="H3" s="3">
        <v>72</v>
      </c>
      <c r="I3" s="132">
        <f t="shared" si="1"/>
        <v>3072</v>
      </c>
      <c r="J3" s="1" t="s">
        <v>84</v>
      </c>
      <c r="K3" s="1"/>
      <c r="L3" s="1"/>
      <c r="M3" s="1"/>
      <c r="N3" s="1" t="s">
        <v>85</v>
      </c>
      <c r="O3" s="1" t="s">
        <v>86</v>
      </c>
      <c r="P3" s="1" t="s">
        <v>94</v>
      </c>
      <c r="Q3" s="4">
        <v>44136</v>
      </c>
      <c r="R3" s="4"/>
      <c r="S3" s="94"/>
      <c r="T3" s="36" t="s">
        <v>95</v>
      </c>
      <c r="U3" s="36" t="s">
        <v>88</v>
      </c>
      <c r="V3" s="4">
        <v>44228</v>
      </c>
      <c r="W3" s="95" t="s">
        <v>89</v>
      </c>
      <c r="X3" s="5">
        <v>44597</v>
      </c>
      <c r="Z3" s="1" t="s">
        <v>86</v>
      </c>
      <c r="AA3" s="45">
        <v>44597</v>
      </c>
      <c r="AB3" s="45">
        <v>44896</v>
      </c>
      <c r="AC3" s="8" t="s">
        <v>90</v>
      </c>
      <c r="AD3" s="45" t="s">
        <v>4</v>
      </c>
      <c r="AE3" s="8" t="s">
        <v>91</v>
      </c>
      <c r="AF3" s="250"/>
    </row>
    <row r="4" spans="1:32" s="8" customFormat="1" ht="30" customHeight="1" x14ac:dyDescent="0.25">
      <c r="A4" s="12" t="s">
        <v>96</v>
      </c>
      <c r="B4" s="8" t="s">
        <v>97</v>
      </c>
      <c r="C4" s="1">
        <v>1</v>
      </c>
      <c r="D4" s="2">
        <v>15000</v>
      </c>
      <c r="E4" s="132">
        <f t="shared" si="0"/>
        <v>15000</v>
      </c>
      <c r="F4" s="3">
        <v>93</v>
      </c>
      <c r="G4" s="3">
        <v>95</v>
      </c>
      <c r="H4" s="3">
        <v>93</v>
      </c>
      <c r="I4" s="132">
        <f t="shared" si="1"/>
        <v>475.49479166666669</v>
      </c>
      <c r="J4" s="1" t="s">
        <v>98</v>
      </c>
      <c r="K4" s="1">
        <v>1</v>
      </c>
      <c r="L4" s="1"/>
      <c r="M4" s="1"/>
      <c r="N4" s="1" t="s">
        <v>99</v>
      </c>
      <c r="O4" s="1" t="s">
        <v>25</v>
      </c>
      <c r="P4" s="1" t="s">
        <v>100</v>
      </c>
      <c r="Q4" s="4">
        <v>44454</v>
      </c>
      <c r="R4" s="4">
        <v>44469</v>
      </c>
      <c r="S4" s="94">
        <f t="shared" ref="S4:S12" si="3">R4-Q4</f>
        <v>15</v>
      </c>
      <c r="T4" s="36" t="s">
        <v>101</v>
      </c>
      <c r="U4" s="1" t="s">
        <v>102</v>
      </c>
      <c r="V4" s="4">
        <v>44513</v>
      </c>
      <c r="W4" s="96" t="s">
        <v>89</v>
      </c>
      <c r="X4" s="5">
        <v>44597</v>
      </c>
      <c r="Z4" s="1" t="s">
        <v>86</v>
      </c>
      <c r="AA4" s="45">
        <v>44597</v>
      </c>
      <c r="AB4" s="45">
        <v>44896</v>
      </c>
      <c r="AC4" s="8" t="s">
        <v>90</v>
      </c>
      <c r="AD4" s="45" t="s">
        <v>4</v>
      </c>
      <c r="AE4" s="8" t="s">
        <v>91</v>
      </c>
      <c r="AF4" s="250"/>
    </row>
    <row r="5" spans="1:32" s="8" customFormat="1" ht="30" customHeight="1" x14ac:dyDescent="0.25">
      <c r="A5" s="137" t="s">
        <v>96</v>
      </c>
      <c r="B5" s="138" t="s">
        <v>103</v>
      </c>
      <c r="C5" s="44">
        <v>1</v>
      </c>
      <c r="D5" s="139">
        <v>15000</v>
      </c>
      <c r="E5" s="140">
        <f t="shared" si="0"/>
        <v>15000</v>
      </c>
      <c r="F5" s="141">
        <v>93</v>
      </c>
      <c r="G5" s="141">
        <v>95</v>
      </c>
      <c r="H5" s="141">
        <v>93</v>
      </c>
      <c r="I5" s="140">
        <f t="shared" si="1"/>
        <v>475.49479166666669</v>
      </c>
      <c r="J5" s="44" t="s">
        <v>98</v>
      </c>
      <c r="K5" s="44">
        <v>1</v>
      </c>
      <c r="L5" s="44"/>
      <c r="M5" s="44"/>
      <c r="N5" s="44" t="s">
        <v>99</v>
      </c>
      <c r="O5" s="44" t="s">
        <v>25</v>
      </c>
      <c r="P5" s="44" t="s">
        <v>100</v>
      </c>
      <c r="Q5" s="142">
        <v>44454</v>
      </c>
      <c r="R5" s="142">
        <v>44469</v>
      </c>
      <c r="S5" s="143">
        <f t="shared" si="3"/>
        <v>15</v>
      </c>
      <c r="T5" s="44" t="s">
        <v>101</v>
      </c>
      <c r="U5" s="44" t="s">
        <v>102</v>
      </c>
      <c r="V5" s="142">
        <v>44513</v>
      </c>
      <c r="W5" s="144" t="s">
        <v>89</v>
      </c>
      <c r="X5" s="145">
        <v>44597</v>
      </c>
      <c r="Y5" s="138"/>
      <c r="Z5" s="44" t="s">
        <v>86</v>
      </c>
      <c r="AA5" s="146">
        <v>44597</v>
      </c>
      <c r="AB5" s="146">
        <v>44896</v>
      </c>
      <c r="AC5" s="138" t="s">
        <v>90</v>
      </c>
      <c r="AD5" s="146" t="s">
        <v>4</v>
      </c>
      <c r="AE5" s="138" t="s">
        <v>91</v>
      </c>
      <c r="AF5" s="251"/>
    </row>
    <row r="6" spans="1:32" s="8" customFormat="1" ht="30" x14ac:dyDescent="0.25">
      <c r="A6" s="12" t="s">
        <v>104</v>
      </c>
      <c r="B6" s="8" t="s">
        <v>105</v>
      </c>
      <c r="C6" s="1">
        <v>27</v>
      </c>
      <c r="D6" s="2">
        <v>250</v>
      </c>
      <c r="E6" s="132">
        <f t="shared" si="0"/>
        <v>6750</v>
      </c>
      <c r="F6" s="3">
        <v>48</v>
      </c>
      <c r="G6" s="3">
        <v>48</v>
      </c>
      <c r="H6" s="3">
        <v>36</v>
      </c>
      <c r="I6" s="132">
        <f t="shared" si="1"/>
        <v>1296</v>
      </c>
      <c r="J6" s="1"/>
      <c r="K6" s="1">
        <v>1</v>
      </c>
      <c r="L6" s="1">
        <v>1</v>
      </c>
      <c r="M6" s="1"/>
      <c r="N6" s="1" t="s">
        <v>99</v>
      </c>
      <c r="O6" s="1" t="s">
        <v>25</v>
      </c>
      <c r="P6" s="1" t="s">
        <v>106</v>
      </c>
      <c r="Q6" s="4"/>
      <c r="R6" s="4"/>
      <c r="S6" s="94">
        <f t="shared" si="3"/>
        <v>0</v>
      </c>
      <c r="T6" s="36" t="s">
        <v>101</v>
      </c>
      <c r="U6" s="1" t="s">
        <v>102</v>
      </c>
      <c r="V6" s="4">
        <v>44513</v>
      </c>
      <c r="W6" s="96" t="s">
        <v>89</v>
      </c>
      <c r="X6" s="5">
        <v>44520</v>
      </c>
      <c r="Z6" s="1" t="s">
        <v>86</v>
      </c>
      <c r="AA6" s="45">
        <v>44513</v>
      </c>
      <c r="AB6" s="45">
        <v>44896</v>
      </c>
      <c r="AC6" s="8" t="s">
        <v>90</v>
      </c>
      <c r="AD6" s="45" t="s">
        <v>4</v>
      </c>
      <c r="AE6" s="8" t="s">
        <v>91</v>
      </c>
      <c r="AF6" s="252" t="s">
        <v>107</v>
      </c>
    </row>
    <row r="7" spans="1:32" s="8" customFormat="1" ht="45" customHeight="1" x14ac:dyDescent="0.25">
      <c r="A7" s="12" t="s">
        <v>104</v>
      </c>
      <c r="B7" s="8" t="s">
        <v>108</v>
      </c>
      <c r="C7" s="1">
        <v>22</v>
      </c>
      <c r="D7" s="2">
        <v>250</v>
      </c>
      <c r="E7" s="132">
        <f t="shared" si="0"/>
        <v>5500</v>
      </c>
      <c r="F7" s="3">
        <v>48</v>
      </c>
      <c r="G7" s="3">
        <v>48</v>
      </c>
      <c r="H7" s="3">
        <v>36</v>
      </c>
      <c r="I7" s="132">
        <f t="shared" si="1"/>
        <v>1056</v>
      </c>
      <c r="J7" s="1"/>
      <c r="K7" s="1">
        <v>1</v>
      </c>
      <c r="L7" s="1">
        <v>1</v>
      </c>
      <c r="M7" s="1"/>
      <c r="N7" s="1" t="s">
        <v>99</v>
      </c>
      <c r="O7" s="1" t="s">
        <v>25</v>
      </c>
      <c r="P7" s="1" t="s">
        <v>109</v>
      </c>
      <c r="Q7" s="4"/>
      <c r="R7" s="4"/>
      <c r="S7" s="94">
        <f t="shared" si="3"/>
        <v>0</v>
      </c>
      <c r="T7" s="36" t="s">
        <v>101</v>
      </c>
      <c r="U7" s="1" t="s">
        <v>102</v>
      </c>
      <c r="V7" s="4">
        <v>44513</v>
      </c>
      <c r="W7" s="96" t="s">
        <v>89</v>
      </c>
      <c r="X7" s="5">
        <v>44520</v>
      </c>
      <c r="Z7" s="1" t="s">
        <v>86</v>
      </c>
      <c r="AA7" s="45">
        <v>44513</v>
      </c>
      <c r="AB7" s="45">
        <v>44896</v>
      </c>
      <c r="AC7" s="8" t="s">
        <v>90</v>
      </c>
      <c r="AD7" s="45" t="s">
        <v>4</v>
      </c>
      <c r="AE7" s="8" t="s">
        <v>91</v>
      </c>
      <c r="AF7" s="250"/>
    </row>
    <row r="8" spans="1:32" s="8" customFormat="1" ht="45" customHeight="1" x14ac:dyDescent="0.25">
      <c r="A8" s="12" t="s">
        <v>104</v>
      </c>
      <c r="B8" s="8" t="s">
        <v>110</v>
      </c>
      <c r="C8" s="1">
        <v>1</v>
      </c>
      <c r="D8" s="2">
        <v>400</v>
      </c>
      <c r="E8" s="132">
        <f t="shared" si="0"/>
        <v>400</v>
      </c>
      <c r="F8" s="3">
        <v>42</v>
      </c>
      <c r="G8" s="3">
        <v>42</v>
      </c>
      <c r="H8" s="3">
        <v>45</v>
      </c>
      <c r="I8" s="132">
        <f t="shared" si="1"/>
        <v>45.9375</v>
      </c>
      <c r="J8" s="1"/>
      <c r="K8" s="1">
        <v>1</v>
      </c>
      <c r="L8" s="1">
        <v>1</v>
      </c>
      <c r="M8" s="1"/>
      <c r="N8" s="1" t="s">
        <v>99</v>
      </c>
      <c r="O8" s="1" t="s">
        <v>25</v>
      </c>
      <c r="P8" s="1" t="s">
        <v>111</v>
      </c>
      <c r="Q8" s="4"/>
      <c r="R8" s="4"/>
      <c r="S8" s="94">
        <f t="shared" si="3"/>
        <v>0</v>
      </c>
      <c r="T8" s="36" t="s">
        <v>101</v>
      </c>
      <c r="U8" s="1" t="s">
        <v>102</v>
      </c>
      <c r="V8" s="4">
        <v>44513</v>
      </c>
      <c r="W8" s="96" t="s">
        <v>89</v>
      </c>
      <c r="X8" s="5">
        <v>44520</v>
      </c>
      <c r="Z8" s="1" t="s">
        <v>86</v>
      </c>
      <c r="AA8" s="45">
        <v>44513</v>
      </c>
      <c r="AB8" s="45">
        <v>44896</v>
      </c>
      <c r="AC8" s="8" t="s">
        <v>90</v>
      </c>
      <c r="AD8" s="45" t="s">
        <v>4</v>
      </c>
      <c r="AE8" s="8" t="s">
        <v>91</v>
      </c>
      <c r="AF8" s="250"/>
    </row>
    <row r="9" spans="1:32" s="8" customFormat="1" ht="45" customHeight="1" x14ac:dyDescent="0.25">
      <c r="A9" s="12" t="s">
        <v>104</v>
      </c>
      <c r="B9" s="8" t="s">
        <v>112</v>
      </c>
      <c r="C9" s="1">
        <v>7</v>
      </c>
      <c r="D9" s="2">
        <v>200</v>
      </c>
      <c r="E9" s="132">
        <f t="shared" si="0"/>
        <v>1400</v>
      </c>
      <c r="F9" s="3">
        <v>42</v>
      </c>
      <c r="G9" s="3">
        <v>42</v>
      </c>
      <c r="H9" s="3">
        <v>30</v>
      </c>
      <c r="I9" s="132">
        <f t="shared" si="1"/>
        <v>214.375</v>
      </c>
      <c r="J9" s="1"/>
      <c r="K9" s="1">
        <v>1</v>
      </c>
      <c r="L9" s="1"/>
      <c r="M9" s="1"/>
      <c r="N9" s="1" t="s">
        <v>99</v>
      </c>
      <c r="O9" s="1" t="s">
        <v>25</v>
      </c>
      <c r="P9" s="1" t="s">
        <v>113</v>
      </c>
      <c r="Q9" s="4"/>
      <c r="R9" s="4"/>
      <c r="S9" s="94">
        <f t="shared" si="3"/>
        <v>0</v>
      </c>
      <c r="T9" s="36" t="s">
        <v>101</v>
      </c>
      <c r="U9" s="1" t="s">
        <v>102</v>
      </c>
      <c r="V9" s="4">
        <v>44513</v>
      </c>
      <c r="W9" s="96" t="s">
        <v>89</v>
      </c>
      <c r="X9" s="5">
        <v>44597</v>
      </c>
      <c r="Z9" s="1" t="s">
        <v>86</v>
      </c>
      <c r="AA9" s="45">
        <v>44513</v>
      </c>
      <c r="AB9" s="45">
        <v>44896</v>
      </c>
      <c r="AC9" s="8" t="s">
        <v>90</v>
      </c>
      <c r="AD9" s="45" t="s">
        <v>4</v>
      </c>
      <c r="AE9" s="8" t="s">
        <v>91</v>
      </c>
      <c r="AF9" s="250"/>
    </row>
    <row r="10" spans="1:32" s="8" customFormat="1" ht="45" customHeight="1" x14ac:dyDescent="0.25">
      <c r="A10" s="12" t="s">
        <v>104</v>
      </c>
      <c r="B10" s="8" t="s">
        <v>114</v>
      </c>
      <c r="C10" s="1">
        <v>3</v>
      </c>
      <c r="D10" s="2">
        <v>200</v>
      </c>
      <c r="E10" s="132">
        <f t="shared" si="0"/>
        <v>600</v>
      </c>
      <c r="F10" s="3">
        <v>42</v>
      </c>
      <c r="G10" s="3">
        <v>42</v>
      </c>
      <c r="H10" s="3">
        <v>30</v>
      </c>
      <c r="I10" s="132">
        <f t="shared" si="1"/>
        <v>91.875</v>
      </c>
      <c r="J10" s="1"/>
      <c r="K10" s="1">
        <v>1</v>
      </c>
      <c r="L10" s="1"/>
      <c r="M10" s="1"/>
      <c r="N10" s="1" t="s">
        <v>99</v>
      </c>
      <c r="O10" s="1" t="s">
        <v>25</v>
      </c>
      <c r="P10" s="1" t="s">
        <v>111</v>
      </c>
      <c r="Q10" s="4"/>
      <c r="R10" s="4"/>
      <c r="S10" s="94">
        <f t="shared" si="3"/>
        <v>0</v>
      </c>
      <c r="T10" s="36" t="s">
        <v>101</v>
      </c>
      <c r="U10" s="1" t="s">
        <v>102</v>
      </c>
      <c r="V10" s="4">
        <v>44513</v>
      </c>
      <c r="W10" s="96" t="s">
        <v>89</v>
      </c>
      <c r="X10" s="5">
        <v>44597</v>
      </c>
      <c r="Z10" s="1" t="s">
        <v>86</v>
      </c>
      <c r="AA10" s="45">
        <v>44513</v>
      </c>
      <c r="AB10" s="45">
        <v>44896</v>
      </c>
      <c r="AC10" s="8" t="s">
        <v>90</v>
      </c>
      <c r="AD10" s="45" t="s">
        <v>4</v>
      </c>
      <c r="AE10" s="8" t="s">
        <v>91</v>
      </c>
      <c r="AF10" s="250"/>
    </row>
    <row r="11" spans="1:32" s="8" customFormat="1" ht="30" customHeight="1" x14ac:dyDescent="0.25">
      <c r="A11" s="12" t="s">
        <v>115</v>
      </c>
      <c r="B11" s="8" t="s">
        <v>116</v>
      </c>
      <c r="C11" s="1">
        <v>2</v>
      </c>
      <c r="D11" s="2">
        <v>250</v>
      </c>
      <c r="E11" s="132">
        <f t="shared" si="0"/>
        <v>500</v>
      </c>
      <c r="F11" s="3">
        <v>42</v>
      </c>
      <c r="G11" s="3">
        <v>42</v>
      </c>
      <c r="H11" s="3">
        <v>36</v>
      </c>
      <c r="I11" s="132">
        <f t="shared" si="1"/>
        <v>73.5</v>
      </c>
      <c r="J11" s="1"/>
      <c r="K11" s="1">
        <v>1</v>
      </c>
      <c r="L11" s="1">
        <v>1</v>
      </c>
      <c r="M11" s="1"/>
      <c r="N11" s="1" t="s">
        <v>99</v>
      </c>
      <c r="O11" s="1" t="s">
        <v>25</v>
      </c>
      <c r="P11" s="1" t="s">
        <v>117</v>
      </c>
      <c r="Q11" s="4"/>
      <c r="R11" s="4"/>
      <c r="S11" s="94">
        <f t="shared" si="3"/>
        <v>0</v>
      </c>
      <c r="T11" s="36" t="s">
        <v>101</v>
      </c>
      <c r="U11" s="1" t="s">
        <v>102</v>
      </c>
      <c r="V11" s="4">
        <v>44513</v>
      </c>
      <c r="W11" s="96" t="s">
        <v>89</v>
      </c>
      <c r="X11" s="5">
        <v>44520</v>
      </c>
      <c r="Z11" s="1" t="s">
        <v>86</v>
      </c>
      <c r="AA11" s="45">
        <v>44513</v>
      </c>
      <c r="AB11" s="45">
        <v>44896</v>
      </c>
      <c r="AC11" s="8" t="s">
        <v>90</v>
      </c>
      <c r="AD11" s="45" t="s">
        <v>4</v>
      </c>
      <c r="AE11" s="8" t="s">
        <v>91</v>
      </c>
      <c r="AF11" s="250"/>
    </row>
    <row r="12" spans="1:32" s="8" customFormat="1" ht="30" x14ac:dyDescent="0.25">
      <c r="A12" s="12" t="s">
        <v>118</v>
      </c>
      <c r="B12" s="8" t="s">
        <v>119</v>
      </c>
      <c r="C12" s="1">
        <v>1</v>
      </c>
      <c r="D12" s="2">
        <v>400</v>
      </c>
      <c r="E12" s="132">
        <f t="shared" si="0"/>
        <v>400</v>
      </c>
      <c r="F12" s="3">
        <v>30</v>
      </c>
      <c r="G12" s="3">
        <v>30</v>
      </c>
      <c r="H12" s="3">
        <v>24</v>
      </c>
      <c r="I12" s="132">
        <f t="shared" si="1"/>
        <v>12.5</v>
      </c>
      <c r="J12" s="1"/>
      <c r="K12" s="1">
        <v>1</v>
      </c>
      <c r="L12" s="1"/>
      <c r="M12" s="1"/>
      <c r="N12" s="1" t="s">
        <v>99</v>
      </c>
      <c r="O12" s="1" t="s">
        <v>25</v>
      </c>
      <c r="P12" s="1" t="s">
        <v>87</v>
      </c>
      <c r="Q12" s="4"/>
      <c r="R12" s="4"/>
      <c r="S12" s="94">
        <f t="shared" si="3"/>
        <v>0</v>
      </c>
      <c r="T12" s="36" t="s">
        <v>101</v>
      </c>
      <c r="U12" s="1" t="s">
        <v>102</v>
      </c>
      <c r="V12" s="4">
        <v>44513</v>
      </c>
      <c r="W12" s="96" t="s">
        <v>89</v>
      </c>
      <c r="X12" s="5">
        <v>44593</v>
      </c>
      <c r="Z12" s="1" t="s">
        <v>86</v>
      </c>
      <c r="AA12" s="45">
        <v>44513</v>
      </c>
      <c r="AB12" s="45">
        <v>44896</v>
      </c>
      <c r="AC12" s="8" t="s">
        <v>90</v>
      </c>
      <c r="AD12" s="45" t="s">
        <v>4</v>
      </c>
      <c r="AE12" s="8" t="s">
        <v>91</v>
      </c>
      <c r="AF12" s="250"/>
    </row>
    <row r="13" spans="1:32" x14ac:dyDescent="0.25">
      <c r="E13" s="133"/>
      <c r="I13" s="133"/>
    </row>
    <row r="14" spans="1:32" x14ac:dyDescent="0.25">
      <c r="D14" s="134"/>
      <c r="E14" s="135"/>
      <c r="F14" s="134"/>
      <c r="G14" s="134"/>
      <c r="H14" s="134"/>
      <c r="I14" s="135"/>
      <c r="J14" s="134"/>
    </row>
    <row r="15" spans="1:32" x14ac:dyDescent="0.25">
      <c r="E15" s="136">
        <f>SUM(E2:E14)</f>
        <v>103150</v>
      </c>
      <c r="F15" s="37"/>
      <c r="G15" s="37"/>
      <c r="H15" s="37"/>
      <c r="I15" s="136">
        <f>SUM(I2:I14)</f>
        <v>8349.1770833333339</v>
      </c>
    </row>
  </sheetData>
  <mergeCells count="2">
    <mergeCell ref="AF2:AF5"/>
    <mergeCell ref="AF6:A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35"/>
  <sheetViews>
    <sheetView workbookViewId="0">
      <pane ySplit="3" topLeftCell="A4" activePane="bottomLeft" state="frozen"/>
      <selection pane="bottomLeft" activeCell="S17" sqref="S17:AB17"/>
    </sheetView>
  </sheetViews>
  <sheetFormatPr defaultRowHeight="15" x14ac:dyDescent="0.25"/>
  <cols>
    <col min="1" max="1" width="15.5703125" style="37" customWidth="1"/>
    <col min="2" max="2" width="46.28515625" customWidth="1"/>
    <col min="3" max="14" width="2.85546875" style="15" customWidth="1"/>
    <col min="15" max="15" width="3.42578125" customWidth="1"/>
    <col min="16" max="16" width="3.5703125" customWidth="1"/>
    <col min="17" max="38" width="2.85546875" customWidth="1"/>
    <col min="39" max="39" width="3.5703125" customWidth="1"/>
    <col min="40" max="50" width="2.85546875" customWidth="1"/>
  </cols>
  <sheetData>
    <row r="1" spans="1:50" s="37" customFormat="1" x14ac:dyDescent="0.25">
      <c r="C1" s="264">
        <v>2019</v>
      </c>
      <c r="D1" s="264"/>
      <c r="E1" s="264"/>
      <c r="F1" s="264">
        <v>2020</v>
      </c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>
        <v>2021</v>
      </c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>
        <v>2022</v>
      </c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>
        <v>2023</v>
      </c>
      <c r="AQ1" s="264"/>
      <c r="AR1" s="264"/>
      <c r="AS1" s="264"/>
      <c r="AT1" s="264"/>
      <c r="AU1" s="264"/>
    </row>
    <row r="2" spans="1:50" ht="18.75" x14ac:dyDescent="0.25">
      <c r="A2" s="265" t="s">
        <v>120</v>
      </c>
      <c r="B2" s="265"/>
      <c r="C2" s="15" t="s">
        <v>121</v>
      </c>
      <c r="D2" s="15" t="s">
        <v>122</v>
      </c>
      <c r="E2" s="15" t="s">
        <v>123</v>
      </c>
      <c r="F2" s="15" t="s">
        <v>124</v>
      </c>
      <c r="G2" s="15" t="s">
        <v>125</v>
      </c>
      <c r="H2" s="15" t="s">
        <v>126</v>
      </c>
      <c r="I2" s="15" t="s">
        <v>127</v>
      </c>
      <c r="J2" s="15" t="s">
        <v>126</v>
      </c>
      <c r="K2" s="15" t="s">
        <v>124</v>
      </c>
      <c r="L2" s="15" t="s">
        <v>124</v>
      </c>
      <c r="M2" s="15" t="s">
        <v>127</v>
      </c>
      <c r="N2" s="15" t="s">
        <v>128</v>
      </c>
      <c r="O2" s="15" t="s">
        <v>121</v>
      </c>
      <c r="P2" s="15" t="s">
        <v>122</v>
      </c>
      <c r="Q2" s="15" t="s">
        <v>123</v>
      </c>
      <c r="R2" s="15" t="s">
        <v>124</v>
      </c>
      <c r="S2" s="15" t="s">
        <v>125</v>
      </c>
      <c r="T2" s="15" t="s">
        <v>126</v>
      </c>
      <c r="U2" s="15" t="s">
        <v>127</v>
      </c>
      <c r="V2" s="15" t="s">
        <v>126</v>
      </c>
      <c r="W2" s="15" t="s">
        <v>124</v>
      </c>
      <c r="X2" s="15" t="s">
        <v>124</v>
      </c>
      <c r="Y2" s="15" t="s">
        <v>127</v>
      </c>
      <c r="Z2" s="15" t="s">
        <v>128</v>
      </c>
      <c r="AA2" s="15" t="s">
        <v>121</v>
      </c>
      <c r="AB2" s="15" t="s">
        <v>122</v>
      </c>
      <c r="AC2" s="15" t="s">
        <v>123</v>
      </c>
      <c r="AD2" s="15" t="s">
        <v>124</v>
      </c>
      <c r="AE2" s="15" t="s">
        <v>125</v>
      </c>
      <c r="AF2" s="15" t="s">
        <v>126</v>
      </c>
      <c r="AG2" s="15" t="s">
        <v>127</v>
      </c>
      <c r="AH2" s="15" t="s">
        <v>126</v>
      </c>
      <c r="AI2" s="15" t="s">
        <v>124</v>
      </c>
      <c r="AJ2" s="15" t="s">
        <v>124</v>
      </c>
      <c r="AK2" s="15" t="s">
        <v>127</v>
      </c>
      <c r="AL2" s="15" t="s">
        <v>128</v>
      </c>
      <c r="AM2" s="15" t="s">
        <v>121</v>
      </c>
      <c r="AN2" s="36" t="s">
        <v>122</v>
      </c>
      <c r="AO2" s="15" t="s">
        <v>123</v>
      </c>
      <c r="AP2" s="15" t="s">
        <v>124</v>
      </c>
      <c r="AQ2" s="15" t="s">
        <v>125</v>
      </c>
      <c r="AR2" s="15" t="s">
        <v>126</v>
      </c>
      <c r="AS2" s="15" t="s">
        <v>127</v>
      </c>
      <c r="AT2" s="15" t="s">
        <v>126</v>
      </c>
      <c r="AU2" s="15" t="s">
        <v>124</v>
      </c>
      <c r="AV2" s="15" t="s">
        <v>124</v>
      </c>
      <c r="AW2" s="15" t="s">
        <v>127</v>
      </c>
      <c r="AX2" s="15" t="s">
        <v>128</v>
      </c>
    </row>
    <row r="3" spans="1:50" x14ac:dyDescent="0.25">
      <c r="A3" s="43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4"/>
      <c r="AO3" s="40"/>
      <c r="AP3" s="40"/>
      <c r="AQ3" s="40"/>
      <c r="AR3" s="40"/>
      <c r="AS3" s="40"/>
      <c r="AT3" s="40"/>
      <c r="AU3" s="40"/>
      <c r="AV3" s="40"/>
      <c r="AW3" s="40"/>
      <c r="AX3" s="40"/>
    </row>
    <row r="4" spans="1:50" ht="15" customHeight="1" x14ac:dyDescent="0.25">
      <c r="A4" s="266" t="s">
        <v>129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1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267"/>
      <c r="B5" s="6" t="s">
        <v>130</v>
      </c>
      <c r="C5" s="276" t="s">
        <v>131</v>
      </c>
      <c r="D5" s="277"/>
      <c r="E5" s="277"/>
      <c r="F5" s="277"/>
      <c r="G5" s="277"/>
      <c r="H5" s="277"/>
      <c r="I5" s="277"/>
      <c r="J5" s="277"/>
      <c r="K5" s="277"/>
      <c r="L5" s="277"/>
      <c r="M5" s="278"/>
      <c r="N5" s="38"/>
      <c r="O5" s="38"/>
      <c r="P5" s="38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8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x14ac:dyDescent="0.25">
      <c r="A6" s="267"/>
      <c r="B6" s="90" t="s">
        <v>132</v>
      </c>
      <c r="C6" s="88"/>
      <c r="D6" s="88"/>
      <c r="E6" s="88"/>
      <c r="F6" s="88"/>
      <c r="G6" s="88"/>
      <c r="H6" s="88"/>
      <c r="I6" s="88"/>
      <c r="J6" s="88"/>
      <c r="K6" s="91"/>
      <c r="L6" s="91"/>
      <c r="M6" s="88"/>
      <c r="N6" s="279" t="s">
        <v>133</v>
      </c>
      <c r="O6" s="280"/>
      <c r="P6" s="281"/>
      <c r="Q6" s="257" t="s">
        <v>134</v>
      </c>
      <c r="R6" s="258"/>
      <c r="S6" s="8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8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x14ac:dyDescent="0.25">
      <c r="A7" s="267"/>
      <c r="B7" s="39" t="s">
        <v>135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39"/>
      <c r="P7" s="259" t="s">
        <v>134</v>
      </c>
      <c r="Q7" s="260"/>
      <c r="R7" s="261"/>
      <c r="S7" s="8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8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x14ac:dyDescent="0.25">
      <c r="A8" s="267"/>
      <c r="B8" s="6" t="s">
        <v>136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6"/>
      <c r="P8" s="6"/>
      <c r="Q8" s="6"/>
      <c r="R8" s="6"/>
      <c r="S8" s="240" t="s">
        <v>137</v>
      </c>
      <c r="T8" s="241"/>
      <c r="U8" s="241"/>
      <c r="V8" s="241"/>
      <c r="W8" s="241"/>
      <c r="X8" s="241"/>
      <c r="Y8" s="241"/>
      <c r="Z8" s="241"/>
      <c r="AA8" s="242"/>
      <c r="AB8" s="38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8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x14ac:dyDescent="0.25">
      <c r="A9" s="267"/>
      <c r="B9" s="6" t="s">
        <v>138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224" t="s">
        <v>139</v>
      </c>
      <c r="AC9" s="224"/>
      <c r="AE9" s="6"/>
      <c r="AF9" s="6"/>
      <c r="AG9" s="6"/>
      <c r="AH9" s="6"/>
      <c r="AI9" s="6"/>
      <c r="AJ9" s="6"/>
      <c r="AK9" s="6"/>
      <c r="AL9" s="6"/>
      <c r="AM9" s="6"/>
      <c r="AN9" s="8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x14ac:dyDescent="0.25">
      <c r="A10" s="267"/>
      <c r="B10" s="6" t="s">
        <v>140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D10" s="253" t="s">
        <v>141</v>
      </c>
      <c r="AE10" s="253"/>
      <c r="AF10" s="6"/>
      <c r="AG10" s="6"/>
      <c r="AH10" s="6"/>
      <c r="AI10" s="6"/>
      <c r="AJ10" s="6"/>
      <c r="AK10" s="6"/>
      <c r="AL10" s="6"/>
      <c r="AM10" s="6"/>
      <c r="AN10" s="8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x14ac:dyDescent="0.25">
      <c r="A11" s="267"/>
      <c r="B11" s="6" t="s">
        <v>142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F11" s="237" t="s">
        <v>143</v>
      </c>
      <c r="AG11" s="238"/>
      <c r="AH11" s="238"/>
      <c r="AI11" s="238"/>
      <c r="AJ11" s="238"/>
      <c r="AK11" s="238"/>
      <c r="AL11" s="238"/>
      <c r="AM11" s="239"/>
      <c r="AN11" s="8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x14ac:dyDescent="0.25">
      <c r="A12" s="268"/>
      <c r="B12" s="39" t="s">
        <v>144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254" t="s">
        <v>145</v>
      </c>
      <c r="AO12" s="255"/>
      <c r="AP12" s="256"/>
      <c r="AQ12" s="39"/>
      <c r="AR12" s="39"/>
      <c r="AS12" s="39"/>
      <c r="AT12" s="39"/>
      <c r="AU12" s="39"/>
      <c r="AV12" s="39"/>
      <c r="AW12" s="39"/>
      <c r="AX12" s="39"/>
    </row>
    <row r="13" spans="1:50" ht="15" customHeight="1" x14ac:dyDescent="0.25">
      <c r="A13" s="266" t="s">
        <v>146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1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267"/>
      <c r="B14" s="6" t="s">
        <v>130</v>
      </c>
      <c r="C14" s="276" t="s">
        <v>131</v>
      </c>
      <c r="D14" s="277"/>
      <c r="E14" s="277"/>
      <c r="F14" s="277"/>
      <c r="G14" s="277"/>
      <c r="H14" s="277"/>
      <c r="I14" s="277"/>
      <c r="J14" s="277"/>
      <c r="K14" s="277"/>
      <c r="L14" s="277"/>
      <c r="M14" s="278"/>
      <c r="N14" s="38"/>
      <c r="O14" s="38"/>
      <c r="P14" s="38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8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x14ac:dyDescent="0.25">
      <c r="A15" s="267"/>
      <c r="B15" s="90" t="s">
        <v>132</v>
      </c>
      <c r="C15" s="88"/>
      <c r="D15" s="88"/>
      <c r="E15" s="88"/>
      <c r="F15" s="88"/>
      <c r="G15" s="88"/>
      <c r="H15" s="88"/>
      <c r="I15" s="88"/>
      <c r="J15" s="88"/>
      <c r="K15" s="91"/>
      <c r="L15" s="91"/>
      <c r="M15" s="88"/>
      <c r="N15" s="279" t="s">
        <v>133</v>
      </c>
      <c r="O15" s="280"/>
      <c r="P15" s="281"/>
      <c r="Q15" s="257" t="s">
        <v>134</v>
      </c>
      <c r="R15" s="258"/>
      <c r="S15" s="8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8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x14ac:dyDescent="0.25">
      <c r="A16" s="267"/>
      <c r="B16" s="39" t="s">
        <v>135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259" t="s">
        <v>134</v>
      </c>
      <c r="Q16" s="260"/>
      <c r="R16" s="261"/>
      <c r="S16" s="8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8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x14ac:dyDescent="0.25">
      <c r="A17" s="267"/>
      <c r="B17" s="6" t="s">
        <v>136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6"/>
      <c r="P17" s="6"/>
      <c r="Q17" s="6"/>
      <c r="R17" s="6"/>
      <c r="S17" s="273" t="s">
        <v>137</v>
      </c>
      <c r="T17" s="274"/>
      <c r="U17" s="274"/>
      <c r="V17" s="274"/>
      <c r="W17" s="274"/>
      <c r="X17" s="274"/>
      <c r="Y17" s="274"/>
      <c r="Z17" s="274"/>
      <c r="AA17" s="274"/>
      <c r="AB17" s="275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8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x14ac:dyDescent="0.25">
      <c r="A18" s="267"/>
      <c r="B18" s="6" t="s">
        <v>147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269" t="s">
        <v>139</v>
      </c>
      <c r="AD18" s="269"/>
      <c r="AE18" s="6"/>
      <c r="AF18" s="6"/>
      <c r="AG18" s="6"/>
      <c r="AH18" s="6"/>
      <c r="AI18" s="6"/>
      <c r="AJ18" s="6"/>
      <c r="AK18" s="6"/>
      <c r="AL18" s="6"/>
      <c r="AM18" s="6"/>
      <c r="AN18" s="8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x14ac:dyDescent="0.25">
      <c r="A19" s="267"/>
      <c r="B19" s="6" t="s">
        <v>148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270" t="s">
        <v>149</v>
      </c>
      <c r="AF19" s="271"/>
      <c r="AG19" s="271"/>
      <c r="AH19" s="271"/>
      <c r="AI19" s="271"/>
      <c r="AJ19" s="271"/>
      <c r="AK19" s="271"/>
      <c r="AL19" s="271"/>
      <c r="AM19" s="272"/>
      <c r="AN19" s="8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x14ac:dyDescent="0.25">
      <c r="A20" s="268"/>
      <c r="B20" s="39" t="s">
        <v>150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262" t="s">
        <v>141</v>
      </c>
      <c r="AO20" s="263"/>
      <c r="AP20" s="85"/>
      <c r="AQ20" s="39"/>
      <c r="AR20" s="39"/>
      <c r="AS20" s="39"/>
      <c r="AT20" s="39"/>
      <c r="AU20" s="39"/>
      <c r="AV20" s="39"/>
      <c r="AW20" s="39"/>
      <c r="AX20" s="39"/>
    </row>
    <row r="21" spans="1:50" ht="15" customHeight="1" x14ac:dyDescent="0.25">
      <c r="A21" s="266" t="s">
        <v>151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8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x14ac:dyDescent="0.25">
      <c r="A22" s="267"/>
      <c r="B22" s="6" t="s">
        <v>130</v>
      </c>
      <c r="C22" s="282" t="s">
        <v>131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4"/>
      <c r="N22" s="38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8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x14ac:dyDescent="0.25">
      <c r="A23" s="267"/>
      <c r="B23" s="90" t="s">
        <v>132</v>
      </c>
      <c r="C23" s="88"/>
      <c r="D23" s="88"/>
      <c r="E23" s="88"/>
      <c r="F23" s="88"/>
      <c r="G23" s="88"/>
      <c r="H23" s="88"/>
      <c r="I23" s="88"/>
      <c r="J23" s="88"/>
      <c r="K23" s="91"/>
      <c r="L23" s="91"/>
      <c r="M23" s="88"/>
      <c r="N23" s="84" t="s">
        <v>133</v>
      </c>
      <c r="O23" s="225"/>
      <c r="P23" s="226"/>
      <c r="Q23" s="257" t="s">
        <v>134</v>
      </c>
      <c r="R23" s="258"/>
      <c r="S23" s="8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x14ac:dyDescent="0.25">
      <c r="A24" s="267"/>
      <c r="B24" s="39" t="s">
        <v>135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9"/>
      <c r="P24" s="259" t="s">
        <v>134</v>
      </c>
      <c r="Q24" s="260"/>
      <c r="R24" s="261"/>
      <c r="S24" s="8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x14ac:dyDescent="0.25">
      <c r="A25" s="267"/>
      <c r="B25" s="6" t="s">
        <v>152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"/>
      <c r="P25" s="6"/>
      <c r="Q25" s="6"/>
      <c r="R25" s="38"/>
      <c r="S25" s="273" t="s">
        <v>153</v>
      </c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5"/>
      <c r="AN25" s="8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x14ac:dyDescent="0.25">
      <c r="A26" s="267"/>
      <c r="B26" s="6" t="s">
        <v>154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N26" s="41" t="s">
        <v>155</v>
      </c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x14ac:dyDescent="0.25">
      <c r="A27" s="268"/>
      <c r="B27" s="39" t="s">
        <v>156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86"/>
      <c r="AO27" s="87"/>
      <c r="AP27" s="85"/>
      <c r="AQ27" s="39"/>
      <c r="AR27" s="39"/>
      <c r="AS27" s="39"/>
      <c r="AT27" s="39"/>
      <c r="AU27" s="39"/>
      <c r="AV27" s="39"/>
      <c r="AW27" s="39"/>
      <c r="AX27" s="39"/>
    </row>
    <row r="28" spans="1:50" ht="15" customHeight="1" x14ac:dyDescent="0.25">
      <c r="A28" s="266" t="s">
        <v>157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8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x14ac:dyDescent="0.25">
      <c r="A29" s="267"/>
      <c r="B29" s="6" t="s">
        <v>130</v>
      </c>
      <c r="C29" s="282" t="s">
        <v>131</v>
      </c>
      <c r="D29" s="283"/>
      <c r="E29" s="283"/>
      <c r="F29" s="283"/>
      <c r="G29" s="283"/>
      <c r="H29" s="283"/>
      <c r="I29" s="283"/>
      <c r="J29" s="283"/>
      <c r="K29" s="283"/>
      <c r="L29" s="283"/>
      <c r="M29" s="284"/>
      <c r="O29" s="38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8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x14ac:dyDescent="0.25">
      <c r="A30" s="267"/>
      <c r="B30" s="90" t="s">
        <v>132</v>
      </c>
      <c r="C30" s="88"/>
      <c r="D30" s="88"/>
      <c r="E30" s="88"/>
      <c r="F30" s="88"/>
      <c r="G30" s="88"/>
      <c r="H30" s="88"/>
      <c r="I30" s="88"/>
      <c r="J30" s="88"/>
      <c r="K30" s="91"/>
      <c r="L30" s="91"/>
      <c r="M30" s="88"/>
      <c r="N30" s="279" t="s">
        <v>158</v>
      </c>
      <c r="O30" s="280"/>
      <c r="P30" s="281"/>
      <c r="Q30" s="38"/>
      <c r="R30" s="38"/>
      <c r="S30" s="8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x14ac:dyDescent="0.25">
      <c r="A31" s="267"/>
      <c r="B31" s="39" t="s">
        <v>159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92"/>
      <c r="P31" s="89" t="s">
        <v>160</v>
      </c>
      <c r="Q31" s="38"/>
      <c r="R31" s="38"/>
      <c r="S31" s="8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8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x14ac:dyDescent="0.25">
      <c r="A32" s="267"/>
      <c r="B32" s="6" t="s">
        <v>161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6"/>
      <c r="P32" s="6"/>
      <c r="Q32" s="273" t="s">
        <v>162</v>
      </c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5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x14ac:dyDescent="0.25">
      <c r="A33" s="267"/>
      <c r="B33" s="6" t="s">
        <v>163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  <c r="P33" s="6"/>
      <c r="Q33" s="6"/>
      <c r="R33" s="6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M33" s="42" t="s">
        <v>164</v>
      </c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x14ac:dyDescent="0.25">
      <c r="A34" s="267"/>
      <c r="B34" s="6" t="s">
        <v>154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N34" s="41" t="s">
        <v>155</v>
      </c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x14ac:dyDescent="0.25">
      <c r="A35" s="268"/>
      <c r="B35" s="39" t="s">
        <v>156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262"/>
      <c r="AO35" s="263"/>
      <c r="AP35" s="85"/>
      <c r="AQ35" s="39"/>
      <c r="AR35" s="39"/>
      <c r="AS35" s="39"/>
      <c r="AT35" s="39"/>
      <c r="AU35" s="39"/>
      <c r="AV35" s="39"/>
      <c r="AW35" s="39"/>
      <c r="AX35" s="39"/>
    </row>
  </sheetData>
  <mergeCells count="32">
    <mergeCell ref="A21:A27"/>
    <mergeCell ref="A28:A35"/>
    <mergeCell ref="C29:M29"/>
    <mergeCell ref="N15:P15"/>
    <mergeCell ref="S25:AM25"/>
    <mergeCell ref="N30:P30"/>
    <mergeCell ref="P16:R16"/>
    <mergeCell ref="AN35:AO35"/>
    <mergeCell ref="Q32:AL32"/>
    <mergeCell ref="Q23:R23"/>
    <mergeCell ref="P24:R24"/>
    <mergeCell ref="C22:M22"/>
    <mergeCell ref="AP1:AU1"/>
    <mergeCell ref="A2:B2"/>
    <mergeCell ref="A13:A20"/>
    <mergeCell ref="AC18:AD18"/>
    <mergeCell ref="AE19:AM19"/>
    <mergeCell ref="S17:AB17"/>
    <mergeCell ref="Q15:R15"/>
    <mergeCell ref="F1:Q1"/>
    <mergeCell ref="C1:E1"/>
    <mergeCell ref="R1:AC1"/>
    <mergeCell ref="AD1:AO1"/>
    <mergeCell ref="C14:M14"/>
    <mergeCell ref="A4:A12"/>
    <mergeCell ref="C5:M5"/>
    <mergeCell ref="N6:P6"/>
    <mergeCell ref="AD10:AE10"/>
    <mergeCell ref="AN12:AP12"/>
    <mergeCell ref="Q6:R6"/>
    <mergeCell ref="P7:R7"/>
    <mergeCell ref="AN20:AO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4"/>
  <sheetViews>
    <sheetView topLeftCell="B1" workbookViewId="0">
      <selection activeCell="E9" sqref="E9"/>
    </sheetView>
  </sheetViews>
  <sheetFormatPr defaultRowHeight="15" x14ac:dyDescent="0.25"/>
  <cols>
    <col min="1" max="1" width="3.42578125" customWidth="1"/>
    <col min="2" max="2" width="63" customWidth="1"/>
    <col min="3" max="6" width="21.7109375" customWidth="1"/>
    <col min="7" max="7" width="3.42578125" customWidth="1"/>
    <col min="8" max="8" width="18.7109375" customWidth="1"/>
  </cols>
  <sheetData>
    <row r="2" spans="2:8" ht="22.5" customHeight="1" x14ac:dyDescent="0.25">
      <c r="B2" s="285" t="s">
        <v>165</v>
      </c>
      <c r="C2" s="286"/>
      <c r="D2" s="286"/>
      <c r="E2" s="286"/>
      <c r="F2" s="286"/>
      <c r="G2" s="286"/>
      <c r="H2" s="287"/>
    </row>
    <row r="3" spans="2:8" s="26" customFormat="1" ht="22.5" customHeight="1" x14ac:dyDescent="0.25">
      <c r="B3" s="73" t="s">
        <v>166</v>
      </c>
      <c r="C3" s="74" t="s">
        <v>167</v>
      </c>
      <c r="D3" s="74" t="s">
        <v>168</v>
      </c>
      <c r="E3" s="74" t="s">
        <v>169</v>
      </c>
      <c r="F3" s="74" t="s">
        <v>170</v>
      </c>
      <c r="G3" s="75"/>
      <c r="H3" s="74" t="s">
        <v>171</v>
      </c>
    </row>
    <row r="4" spans="2:8" s="26" customFormat="1" ht="22.5" customHeight="1" x14ac:dyDescent="0.25">
      <c r="B4" s="64" t="s">
        <v>172</v>
      </c>
      <c r="C4" s="23">
        <f>SUMIF('All Cargo to NPX'!W2:W86, "Vessel 2019", 'All Cargo to NPX'!G2:G86)</f>
        <v>0</v>
      </c>
      <c r="D4" s="24">
        <f>SUMIF('All Cargo to NPX'!W2:W86, "Vessel 2020", 'All Cargo to NPX'!G2:G86)</f>
        <v>94800</v>
      </c>
      <c r="E4" s="24">
        <f>SUMIF('All Cargo to NPX'!W2:W86, "Vessel 2021", 'All Cargo to NPX'!G2:G86)</f>
        <v>87500</v>
      </c>
      <c r="F4" s="24">
        <f>SUMIF('All Cargo to NPX'!W2:W86, "Vessel 2022", 'All Cargo to NPX'!G2:G86)</f>
        <v>0</v>
      </c>
      <c r="G4" s="25"/>
      <c r="H4" s="65">
        <f t="shared" ref="H4:H9" si="0">SUM(C4:G4)</f>
        <v>182300</v>
      </c>
    </row>
    <row r="5" spans="2:8" s="26" customFormat="1" ht="22.5" customHeight="1" x14ac:dyDescent="0.25">
      <c r="B5" s="64" t="s">
        <v>173</v>
      </c>
      <c r="C5" s="23">
        <f>SUMIF('All Cargo to NPX'!V2:V86, "ComSur 2019", 'All Cargo to NPX'!G2:G86)</f>
        <v>0</v>
      </c>
      <c r="D5" s="24">
        <f>SUMIF('All Cargo to NPX'!V2:V86, "ComSur 2020", 'All Cargo to NPX'!G2:G86)</f>
        <v>73825</v>
      </c>
      <c r="E5" s="24">
        <f>SUMIF('All Cargo to NPX'!V2:V86, "ComSur 2021", 'All Cargo to NPX'!G2:G86)</f>
        <v>71350</v>
      </c>
      <c r="F5" s="24">
        <f>SUMIF('All Cargo to NPX'!V2:V86, "ComSur 2022", 'All Cargo to NPX'!G2:G86)</f>
        <v>42300</v>
      </c>
      <c r="G5" s="25"/>
      <c r="H5" s="65">
        <f t="shared" si="0"/>
        <v>187475</v>
      </c>
    </row>
    <row r="6" spans="2:8" s="26" customFormat="1" ht="22.5" customHeight="1" x14ac:dyDescent="0.25">
      <c r="B6" s="64" t="s">
        <v>174</v>
      </c>
      <c r="C6" s="23">
        <f>SUMIF('All Cargo to NPX'!V2:V86, "ComAir 2019", 'All Cargo to NPX'!G2:G86)</f>
        <v>0</v>
      </c>
      <c r="D6" s="24">
        <f>SUMIF('All Cargo to NPX'!V2:V86, "ComAir 2020", 'All Cargo to NPX'!G2:G86)</f>
        <v>0</v>
      </c>
      <c r="E6" s="24">
        <f>SUMIF('All Cargo to NPX'!V2:V86, "ComAir 2021", 'All Cargo to NPX'!G2:G86)</f>
        <v>3000</v>
      </c>
      <c r="F6" s="24">
        <f>SUMIF('All Cargo to NPX'!V2:V86, "ComAir 2022", 'All Cargo to NPX'!G2:G86)</f>
        <v>3600</v>
      </c>
      <c r="G6" s="25"/>
      <c r="H6" s="65">
        <f t="shared" si="0"/>
        <v>6600</v>
      </c>
    </row>
    <row r="7" spans="2:8" s="26" customFormat="1" ht="22.5" customHeight="1" x14ac:dyDescent="0.25">
      <c r="B7" s="66" t="s">
        <v>175</v>
      </c>
      <c r="C7" s="27">
        <f>SUMIF('All Cargo to NPX'!W2:W86, "C17-2019", 'All Cargo to NPX'!G2:G86)</f>
        <v>0</v>
      </c>
      <c r="D7" s="28">
        <f>SUMIF('All Cargo to NPX'!W2:W86, "C17-2020", 'All Cargo to NPX'!G2:G86)</f>
        <v>30625</v>
      </c>
      <c r="E7" s="28">
        <f>SUMIF('All Cargo to NPX'!W2:W86, "C17-2021", 'All Cargo to NPX'!G2:G86)</f>
        <v>86150</v>
      </c>
      <c r="F7" s="28">
        <f>SUMIF('All Cargo to NPX'!W2:W86, "C17-2022", 'All Cargo to NPX'!G2:G86)</f>
        <v>45900</v>
      </c>
      <c r="G7" s="29"/>
      <c r="H7" s="67">
        <f t="shared" si="0"/>
        <v>162675</v>
      </c>
    </row>
    <row r="8" spans="2:8" s="26" customFormat="1" ht="22.5" customHeight="1" x14ac:dyDescent="0.25">
      <c r="B8" s="31" t="s">
        <v>176</v>
      </c>
      <c r="C8" s="24">
        <f>SUMIF('All Cargo to NPX'!Y2:Y86, "Traverse 2019", 'All Cargo to NPX'!G2:G86)</f>
        <v>0</v>
      </c>
      <c r="D8" s="24">
        <f>SUMIF('All Cargo to NPX'!Y2:Y86, "Traverse 2020", 'All Cargo to NPX'!G2:G86)</f>
        <v>110840</v>
      </c>
      <c r="E8" s="24">
        <f>SUMIF('All Cargo to NPX'!Y2:Y86, "Traverse 2021", 'All Cargo to NPX'!G2:G86)</f>
        <v>51200</v>
      </c>
      <c r="F8" s="24">
        <f>SUMIF('All Cargo to NPX'!Y2:Y86, "Traverse 2022", 'All Cargo to NPX'!G2:G86)</f>
        <v>0</v>
      </c>
      <c r="G8" s="25"/>
      <c r="H8" s="65">
        <f t="shared" si="0"/>
        <v>162040</v>
      </c>
    </row>
    <row r="9" spans="2:8" s="26" customFormat="1" ht="22.5" customHeight="1" x14ac:dyDescent="0.25">
      <c r="B9" s="68" t="s">
        <v>177</v>
      </c>
      <c r="C9" s="49">
        <f>SUMIF('All Cargo to NPX'!Y2:Y86, "Air 2019", 'All Cargo to NPX'!G2:G86)</f>
        <v>0</v>
      </c>
      <c r="D9" s="50">
        <f>SUMIF('All Cargo to NPX'!Y2:Y86, "Air 2020", 'All Cargo to NPX'!G2:G86)</f>
        <v>40025</v>
      </c>
      <c r="E9" s="50"/>
      <c r="F9" s="50">
        <f>SUMIF('All Cargo to NPX'!Y2:Y86, "Air 2022", 'All Cargo to NPX'!G2:G86)</f>
        <v>152600</v>
      </c>
      <c r="G9" s="51"/>
      <c r="H9" s="69">
        <f t="shared" si="0"/>
        <v>192625</v>
      </c>
    </row>
    <row r="10" spans="2:8" s="26" customFormat="1" ht="22.5" customHeight="1" x14ac:dyDescent="0.25">
      <c r="B10" s="66" t="s">
        <v>178</v>
      </c>
      <c r="C10" s="70">
        <f>C9/23800</f>
        <v>0</v>
      </c>
      <c r="D10" s="71">
        <f>D9/23800</f>
        <v>1.6817226890756303</v>
      </c>
      <c r="E10" s="71">
        <f>E9/23800</f>
        <v>0</v>
      </c>
      <c r="F10" s="71">
        <f>F9/23800</f>
        <v>6.4117647058823533</v>
      </c>
      <c r="G10" s="72"/>
      <c r="H10" s="71">
        <f>SUM(C10:F10)</f>
        <v>8.0934873949579842</v>
      </c>
    </row>
    <row r="11" spans="2:8" s="17" customFormat="1" ht="18" x14ac:dyDescent="0.25">
      <c r="B11" s="17" t="s">
        <v>179</v>
      </c>
    </row>
    <row r="13" spans="2:8" x14ac:dyDescent="0.25">
      <c r="B13" s="16" t="s">
        <v>180</v>
      </c>
    </row>
    <row r="14" spans="2:8" x14ac:dyDescent="0.25">
      <c r="B14" s="16" t="s">
        <v>181</v>
      </c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3"/>
  <sheetViews>
    <sheetView tabSelected="1" zoomScale="185" zoomScaleNormal="185" workbookViewId="0">
      <pane xSplit="4" ySplit="1" topLeftCell="P88" activePane="bottomRight" state="frozen"/>
      <selection pane="topRight" activeCell="E1" sqref="E1"/>
      <selection pane="bottomLeft" activeCell="A2" sqref="A2"/>
      <selection pane="bottomRight" activeCell="A104" sqref="A104"/>
    </sheetView>
  </sheetViews>
  <sheetFormatPr defaultColWidth="8.85546875" defaultRowHeight="15" x14ac:dyDescent="0.25"/>
  <cols>
    <col min="1" max="1" width="4.5703125" style="8" customWidth="1"/>
    <col min="2" max="2" width="6.140625" style="130" customWidth="1"/>
    <col min="3" max="3" width="13.28515625" style="12" customWidth="1"/>
    <col min="4" max="4" width="83.42578125" style="8" bestFit="1" customWidth="1"/>
    <col min="5" max="5" width="15.140625" style="1" customWidth="1"/>
    <col min="6" max="6" width="12" style="9" customWidth="1"/>
    <col min="7" max="7" width="14.42578125" style="3" customWidth="1"/>
    <col min="8" max="8" width="5.28515625" style="3" customWidth="1"/>
    <col min="9" max="10" width="6.42578125" style="3" customWidth="1"/>
    <col min="11" max="11" width="13" style="3" customWidth="1"/>
    <col min="12" max="12" width="11.140625" style="1" customWidth="1"/>
    <col min="13" max="13" width="5.7109375" style="1" customWidth="1"/>
    <col min="14" max="14" width="6.7109375" style="1" customWidth="1"/>
    <col min="15" max="15" width="5.7109375" style="1" customWidth="1"/>
    <col min="16" max="16" width="11" style="1" customWidth="1"/>
    <col min="17" max="17" width="5.85546875" style="1" customWidth="1"/>
    <col min="18" max="18" width="9.140625" style="1" customWidth="1" collapsed="1"/>
    <col min="19" max="19" width="12.42578125" style="4" customWidth="1"/>
    <col min="20" max="20" width="14.42578125" style="4" customWidth="1"/>
    <col min="21" max="21" width="10.28515625" style="4" customWidth="1"/>
    <col min="22" max="22" width="12.42578125" style="4" bestFit="1" customWidth="1"/>
    <col min="23" max="23" width="13.28515625" style="1" customWidth="1"/>
    <col min="24" max="24" width="10.42578125" style="4" customWidth="1"/>
    <col min="25" max="25" width="12.28515625" style="1" customWidth="1"/>
    <col min="26" max="26" width="11.28515625" style="1" customWidth="1"/>
    <col min="27" max="27" width="11.7109375" style="1" customWidth="1"/>
    <col min="28" max="28" width="9.140625" style="1" customWidth="1"/>
    <col min="29" max="29" width="10.85546875" style="5" customWidth="1"/>
    <col min="30" max="30" width="16.5703125" style="8" customWidth="1"/>
    <col min="31" max="31" width="10.28515625" style="1" customWidth="1"/>
    <col min="32" max="33" width="11.140625" style="8" bestFit="1" customWidth="1"/>
    <col min="34" max="34" width="11.140625" style="8" customWidth="1"/>
    <col min="35" max="35" width="16.7109375" style="8" bestFit="1" customWidth="1"/>
    <col min="36" max="36" width="18.28515625" style="8" bestFit="1" customWidth="1"/>
    <col min="37" max="37" width="37.28515625" style="8" bestFit="1" customWidth="1"/>
    <col min="38" max="38" width="15.7109375" style="8" customWidth="1"/>
    <col min="39" max="39" width="9.42578125" style="8" bestFit="1" customWidth="1"/>
    <col min="40" max="16384" width="8.85546875" style="8"/>
  </cols>
  <sheetData>
    <row r="1" spans="1:39" s="80" customFormat="1" ht="94.5" customHeight="1" x14ac:dyDescent="0.25">
      <c r="A1" s="80" t="s">
        <v>182</v>
      </c>
      <c r="B1" s="97" t="s">
        <v>183</v>
      </c>
      <c r="C1" s="81" t="s">
        <v>51</v>
      </c>
      <c r="D1" s="80" t="s">
        <v>52</v>
      </c>
      <c r="E1" s="81" t="s">
        <v>53</v>
      </c>
      <c r="F1" s="98" t="s">
        <v>54</v>
      </c>
      <c r="G1" s="79" t="s">
        <v>55</v>
      </c>
      <c r="H1" s="99" t="s">
        <v>56</v>
      </c>
      <c r="I1" s="99" t="s">
        <v>57</v>
      </c>
      <c r="J1" s="99" t="s">
        <v>58</v>
      </c>
      <c r="K1" s="79" t="s">
        <v>59</v>
      </c>
      <c r="L1" s="100" t="s">
        <v>60</v>
      </c>
      <c r="M1" s="81" t="s">
        <v>61</v>
      </c>
      <c r="N1" s="81" t="s">
        <v>62</v>
      </c>
      <c r="O1" s="81" t="s">
        <v>63</v>
      </c>
      <c r="P1" s="81" t="s">
        <v>64</v>
      </c>
      <c r="Q1" s="81" t="s">
        <v>65</v>
      </c>
      <c r="R1" s="81" t="s">
        <v>66</v>
      </c>
      <c r="S1" s="101" t="s">
        <v>67</v>
      </c>
      <c r="T1" s="101" t="s">
        <v>68</v>
      </c>
      <c r="U1" s="101" t="s">
        <v>69</v>
      </c>
      <c r="V1" s="101" t="s">
        <v>70</v>
      </c>
      <c r="W1" s="81" t="s">
        <v>71</v>
      </c>
      <c r="X1" s="101" t="s">
        <v>72</v>
      </c>
      <c r="Y1" s="81" t="s">
        <v>73</v>
      </c>
      <c r="Z1" s="81" t="s">
        <v>184</v>
      </c>
      <c r="AA1" s="81" t="s">
        <v>185</v>
      </c>
      <c r="AB1" s="81" t="s">
        <v>186</v>
      </c>
      <c r="AC1" s="102" t="s">
        <v>74</v>
      </c>
      <c r="AD1" s="81" t="s">
        <v>75</v>
      </c>
      <c r="AE1" s="100" t="s">
        <v>76</v>
      </c>
      <c r="AF1" s="81" t="s">
        <v>77</v>
      </c>
      <c r="AG1" s="81" t="s">
        <v>78</v>
      </c>
      <c r="AH1" s="80" t="s">
        <v>79</v>
      </c>
      <c r="AI1" s="81" t="s">
        <v>80</v>
      </c>
      <c r="AJ1" s="80" t="s">
        <v>81</v>
      </c>
      <c r="AK1" s="80" t="s">
        <v>187</v>
      </c>
      <c r="AL1" s="80" t="s">
        <v>188</v>
      </c>
    </row>
    <row r="2" spans="1:39" x14ac:dyDescent="0.25">
      <c r="A2" s="8">
        <v>3</v>
      </c>
      <c r="B2" s="93">
        <v>1.2</v>
      </c>
      <c r="C2" s="12" t="s">
        <v>115</v>
      </c>
      <c r="D2" s="8" t="s">
        <v>189</v>
      </c>
      <c r="E2" s="1">
        <v>4</v>
      </c>
      <c r="F2" s="9">
        <v>1000</v>
      </c>
      <c r="G2" s="3">
        <f t="shared" ref="G2:G33" si="0">E2*F2</f>
        <v>4000</v>
      </c>
      <c r="H2" s="3">
        <v>96</v>
      </c>
      <c r="I2" s="3">
        <v>48</v>
      </c>
      <c r="J2" s="3">
        <v>48</v>
      </c>
      <c r="K2" s="3">
        <f t="shared" ref="K2:K33" si="1">((H2*I2*J2)/1728)*E2</f>
        <v>512</v>
      </c>
      <c r="M2" s="1">
        <v>1</v>
      </c>
      <c r="P2" s="1" t="s">
        <v>99</v>
      </c>
      <c r="Q2" s="1" t="s">
        <v>86</v>
      </c>
      <c r="R2" s="1" t="s">
        <v>87</v>
      </c>
      <c r="S2" s="243">
        <v>44099</v>
      </c>
      <c r="T2" s="4">
        <v>44109</v>
      </c>
      <c r="U2" s="94">
        <f>T2-S2</f>
        <v>10</v>
      </c>
      <c r="V2" s="36" t="s">
        <v>95</v>
      </c>
      <c r="W2" s="1" t="s">
        <v>190</v>
      </c>
      <c r="X2" s="4">
        <v>44149</v>
      </c>
      <c r="Y2" s="151" t="s">
        <v>191</v>
      </c>
      <c r="Z2" s="151"/>
      <c r="AA2" s="151"/>
      <c r="AB2" s="151"/>
      <c r="AC2" s="5">
        <v>44156</v>
      </c>
      <c r="AE2" s="1" t="s">
        <v>25</v>
      </c>
      <c r="AM2" s="103"/>
    </row>
    <row r="3" spans="1:39" x14ac:dyDescent="0.25">
      <c r="A3" s="8">
        <v>4</v>
      </c>
      <c r="B3" s="93">
        <v>1.2</v>
      </c>
      <c r="C3" s="12" t="s">
        <v>115</v>
      </c>
      <c r="D3" s="8" t="s">
        <v>192</v>
      </c>
      <c r="E3" s="1">
        <v>1</v>
      </c>
      <c r="F3" s="9">
        <v>1000</v>
      </c>
      <c r="G3" s="3">
        <f t="shared" si="0"/>
        <v>1000</v>
      </c>
      <c r="H3" s="3">
        <v>96</v>
      </c>
      <c r="I3" s="3">
        <v>48</v>
      </c>
      <c r="J3" s="3">
        <v>48</v>
      </c>
      <c r="K3" s="3">
        <f t="shared" si="1"/>
        <v>128</v>
      </c>
      <c r="M3" s="1">
        <v>1</v>
      </c>
      <c r="N3" s="1">
        <v>1</v>
      </c>
      <c r="P3" s="1" t="s">
        <v>193</v>
      </c>
      <c r="Q3" s="1" t="s">
        <v>25</v>
      </c>
      <c r="R3" s="1" t="s">
        <v>87</v>
      </c>
      <c r="S3" s="243">
        <v>44099</v>
      </c>
      <c r="T3" s="4">
        <v>44109</v>
      </c>
      <c r="U3" s="94">
        <f>T3-S3</f>
        <v>10</v>
      </c>
      <c r="V3" s="36" t="s">
        <v>95</v>
      </c>
      <c r="W3" s="1" t="s">
        <v>190</v>
      </c>
      <c r="X3" s="4">
        <v>44149</v>
      </c>
      <c r="Y3" s="151" t="s">
        <v>191</v>
      </c>
      <c r="Z3" s="151"/>
      <c r="AA3" s="151"/>
      <c r="AB3" s="151"/>
      <c r="AC3" s="5">
        <v>44156</v>
      </c>
      <c r="AE3" s="1" t="s">
        <v>25</v>
      </c>
    </row>
    <row r="4" spans="1:39" x14ac:dyDescent="0.25">
      <c r="A4" s="312">
        <v>5</v>
      </c>
      <c r="B4" s="93">
        <v>1.2</v>
      </c>
      <c r="C4" s="12" t="s">
        <v>194</v>
      </c>
      <c r="D4" s="8" t="s">
        <v>195</v>
      </c>
      <c r="E4" s="1">
        <v>1</v>
      </c>
      <c r="F4" s="9">
        <v>22000</v>
      </c>
      <c r="G4" s="3">
        <f t="shared" si="0"/>
        <v>22000</v>
      </c>
      <c r="H4" s="3">
        <v>240</v>
      </c>
      <c r="I4" s="3">
        <v>96</v>
      </c>
      <c r="J4" s="3">
        <v>96</v>
      </c>
      <c r="K4" s="3">
        <f t="shared" si="1"/>
        <v>1280</v>
      </c>
      <c r="L4" s="1" t="s">
        <v>84</v>
      </c>
      <c r="P4" s="1" t="s">
        <v>99</v>
      </c>
      <c r="Q4" s="1" t="s">
        <v>25</v>
      </c>
      <c r="R4" s="1" t="s">
        <v>196</v>
      </c>
      <c r="S4" s="244">
        <v>44136</v>
      </c>
      <c r="T4" s="105" t="s">
        <v>197</v>
      </c>
      <c r="U4" s="152" t="s">
        <v>197</v>
      </c>
      <c r="V4" s="150" t="s">
        <v>197</v>
      </c>
      <c r="W4" s="150" t="s">
        <v>197</v>
      </c>
      <c r="X4" s="105" t="s">
        <v>197</v>
      </c>
      <c r="Y4" s="151" t="s">
        <v>198</v>
      </c>
      <c r="Z4" s="151"/>
      <c r="AA4" s="151">
        <v>2</v>
      </c>
      <c r="AB4" s="151" t="s">
        <v>199</v>
      </c>
      <c r="AC4" s="5">
        <v>44163</v>
      </c>
      <c r="AE4" s="1" t="s">
        <v>86</v>
      </c>
      <c r="AF4" s="45">
        <v>43862</v>
      </c>
      <c r="AG4" s="45">
        <v>44136</v>
      </c>
      <c r="AH4" s="8" t="s">
        <v>200</v>
      </c>
      <c r="AI4" s="45" t="s">
        <v>2</v>
      </c>
      <c r="AJ4" s="8" t="s">
        <v>201</v>
      </c>
    </row>
    <row r="5" spans="1:39" x14ac:dyDescent="0.25">
      <c r="A5" s="8">
        <v>6</v>
      </c>
      <c r="B5" s="93">
        <v>1.2</v>
      </c>
      <c r="C5" s="12" t="s">
        <v>115</v>
      </c>
      <c r="D5" s="8" t="s">
        <v>202</v>
      </c>
      <c r="E5" s="1">
        <v>3</v>
      </c>
      <c r="F5" s="9">
        <v>1500</v>
      </c>
      <c r="G5" s="3">
        <f t="shared" si="0"/>
        <v>4500</v>
      </c>
      <c r="H5" s="3">
        <v>96</v>
      </c>
      <c r="I5" s="3">
        <v>48</v>
      </c>
      <c r="J5" s="3">
        <v>48</v>
      </c>
      <c r="K5" s="3">
        <f t="shared" si="1"/>
        <v>384</v>
      </c>
      <c r="M5" s="1">
        <v>1</v>
      </c>
      <c r="N5" s="1">
        <v>1</v>
      </c>
      <c r="P5" s="1" t="s">
        <v>193</v>
      </c>
      <c r="Q5" s="1" t="s">
        <v>25</v>
      </c>
      <c r="R5" s="1" t="s">
        <v>87</v>
      </c>
      <c r="S5" s="243">
        <v>44099</v>
      </c>
      <c r="T5" s="4">
        <v>44109</v>
      </c>
      <c r="U5" s="153">
        <f>T5-S5</f>
        <v>10</v>
      </c>
      <c r="V5" s="15" t="s">
        <v>95</v>
      </c>
      <c r="W5" s="15" t="s">
        <v>190</v>
      </c>
      <c r="X5" s="154">
        <v>44149</v>
      </c>
      <c r="Y5" s="151" t="s">
        <v>191</v>
      </c>
      <c r="Z5" s="151"/>
      <c r="AA5" s="151"/>
      <c r="AB5" s="151"/>
      <c r="AC5" s="5">
        <v>44163</v>
      </c>
      <c r="AE5" s="1" t="s">
        <v>25</v>
      </c>
      <c r="AF5" s="45"/>
      <c r="AG5" s="45"/>
      <c r="AI5" s="45"/>
    </row>
    <row r="6" spans="1:39" x14ac:dyDescent="0.25">
      <c r="A6" s="8">
        <v>7</v>
      </c>
      <c r="B6" s="93">
        <v>1.2</v>
      </c>
      <c r="C6" s="12" t="s">
        <v>203</v>
      </c>
      <c r="D6" s="14" t="s">
        <v>204</v>
      </c>
      <c r="E6" s="1">
        <v>1</v>
      </c>
      <c r="F6" s="2">
        <v>20000</v>
      </c>
      <c r="G6" s="3">
        <f t="shared" si="0"/>
        <v>20000</v>
      </c>
      <c r="H6" s="108">
        <v>480</v>
      </c>
      <c r="I6" s="108">
        <v>96</v>
      </c>
      <c r="J6" s="108">
        <v>96</v>
      </c>
      <c r="K6" s="3">
        <f t="shared" si="1"/>
        <v>2560</v>
      </c>
      <c r="P6" s="1" t="s">
        <v>99</v>
      </c>
      <c r="Q6" s="1" t="s">
        <v>205</v>
      </c>
      <c r="R6" s="1" t="s">
        <v>196</v>
      </c>
      <c r="S6" s="105" t="s">
        <v>197</v>
      </c>
      <c r="T6" s="105" t="s">
        <v>197</v>
      </c>
      <c r="U6" s="109" t="s">
        <v>197</v>
      </c>
      <c r="V6" s="109" t="s">
        <v>197</v>
      </c>
      <c r="W6" s="107" t="s">
        <v>197</v>
      </c>
      <c r="X6" s="219" t="s">
        <v>197</v>
      </c>
      <c r="Y6" s="218" t="s">
        <v>206</v>
      </c>
      <c r="Z6" s="218"/>
      <c r="AA6" s="218"/>
      <c r="AB6" s="218"/>
      <c r="AC6" s="220" t="s">
        <v>206</v>
      </c>
      <c r="AE6" s="1" t="s">
        <v>86</v>
      </c>
      <c r="AF6" s="46">
        <v>43739</v>
      </c>
      <c r="AG6" s="110" t="s">
        <v>206</v>
      </c>
      <c r="AH6" s="8" t="s">
        <v>200</v>
      </c>
      <c r="AI6" s="46" t="s">
        <v>2</v>
      </c>
      <c r="AJ6" s="8" t="s">
        <v>201</v>
      </c>
    </row>
    <row r="7" spans="1:39" x14ac:dyDescent="0.25">
      <c r="A7" s="312">
        <v>8</v>
      </c>
      <c r="B7" s="93">
        <v>1.2</v>
      </c>
      <c r="C7" s="12" t="s">
        <v>194</v>
      </c>
      <c r="D7" s="155" t="s">
        <v>207</v>
      </c>
      <c r="E7" s="1">
        <v>1</v>
      </c>
      <c r="F7" s="9">
        <v>22000</v>
      </c>
      <c r="G7" s="3">
        <f t="shared" si="0"/>
        <v>22000</v>
      </c>
      <c r="H7" s="3">
        <v>240</v>
      </c>
      <c r="I7" s="3">
        <v>96</v>
      </c>
      <c r="J7" s="3">
        <v>96</v>
      </c>
      <c r="K7" s="3">
        <f t="shared" si="1"/>
        <v>1280</v>
      </c>
      <c r="L7" s="1" t="s">
        <v>84</v>
      </c>
      <c r="P7" s="1" t="s">
        <v>99</v>
      </c>
      <c r="Q7" s="1" t="s">
        <v>25</v>
      </c>
      <c r="R7" s="1" t="s">
        <v>196</v>
      </c>
      <c r="S7" s="244">
        <v>44136</v>
      </c>
      <c r="T7" s="105" t="s">
        <v>197</v>
      </c>
      <c r="U7" s="106" t="s">
        <v>197</v>
      </c>
      <c r="V7" s="106" t="s">
        <v>197</v>
      </c>
      <c r="W7" s="107" t="s">
        <v>197</v>
      </c>
      <c r="X7" s="105" t="s">
        <v>197</v>
      </c>
      <c r="Y7" s="151" t="s">
        <v>198</v>
      </c>
      <c r="Z7" s="151"/>
      <c r="AA7" s="151">
        <v>1</v>
      </c>
      <c r="AB7" s="151" t="s">
        <v>199</v>
      </c>
      <c r="AC7" s="5">
        <v>44163</v>
      </c>
      <c r="AE7" s="1" t="s">
        <v>86</v>
      </c>
      <c r="AF7" s="45">
        <v>43862</v>
      </c>
      <c r="AG7" s="45">
        <v>44136</v>
      </c>
      <c r="AH7" s="8" t="s">
        <v>200</v>
      </c>
      <c r="AI7" s="46" t="s">
        <v>2</v>
      </c>
      <c r="AJ7" s="8" t="s">
        <v>201</v>
      </c>
    </row>
    <row r="8" spans="1:39" x14ac:dyDescent="0.25">
      <c r="A8" s="312">
        <v>9</v>
      </c>
      <c r="B8" s="93">
        <v>1.2</v>
      </c>
      <c r="C8" s="12" t="s">
        <v>194</v>
      </c>
      <c r="D8" s="155" t="s">
        <v>208</v>
      </c>
      <c r="E8" s="1">
        <v>1</v>
      </c>
      <c r="F8" s="9">
        <v>22000</v>
      </c>
      <c r="G8" s="3">
        <f t="shared" si="0"/>
        <v>22000</v>
      </c>
      <c r="H8" s="3">
        <v>240</v>
      </c>
      <c r="I8" s="3">
        <v>96</v>
      </c>
      <c r="J8" s="3">
        <v>96</v>
      </c>
      <c r="K8" s="3">
        <f t="shared" si="1"/>
        <v>1280</v>
      </c>
      <c r="L8" s="1" t="s">
        <v>84</v>
      </c>
      <c r="P8" s="1" t="s">
        <v>99</v>
      </c>
      <c r="Q8" s="1" t="s">
        <v>25</v>
      </c>
      <c r="R8" s="1" t="s">
        <v>196</v>
      </c>
      <c r="S8" s="244">
        <v>44136</v>
      </c>
      <c r="T8" s="105" t="s">
        <v>197</v>
      </c>
      <c r="U8" s="106" t="s">
        <v>197</v>
      </c>
      <c r="V8" s="106" t="s">
        <v>197</v>
      </c>
      <c r="W8" s="107" t="s">
        <v>197</v>
      </c>
      <c r="X8" s="105" t="s">
        <v>197</v>
      </c>
      <c r="Y8" s="151" t="s">
        <v>198</v>
      </c>
      <c r="Z8" s="151"/>
      <c r="AA8" s="151">
        <v>3</v>
      </c>
      <c r="AB8" s="151" t="s">
        <v>199</v>
      </c>
      <c r="AC8" s="5">
        <v>44163</v>
      </c>
      <c r="AE8" s="1" t="s">
        <v>86</v>
      </c>
      <c r="AF8" s="46">
        <v>43862</v>
      </c>
      <c r="AG8" s="46">
        <v>44136</v>
      </c>
      <c r="AH8" s="8" t="s">
        <v>200</v>
      </c>
      <c r="AI8" s="46" t="s">
        <v>2</v>
      </c>
      <c r="AJ8" s="8" t="s">
        <v>201</v>
      </c>
    </row>
    <row r="9" spans="1:39" x14ac:dyDescent="0.25">
      <c r="A9" s="313">
        <v>10</v>
      </c>
      <c r="B9" s="93">
        <v>1.2</v>
      </c>
      <c r="C9" s="12" t="s">
        <v>194</v>
      </c>
      <c r="D9" s="8" t="s">
        <v>209</v>
      </c>
      <c r="E9" s="1">
        <v>1</v>
      </c>
      <c r="F9" s="2">
        <v>20000</v>
      </c>
      <c r="G9" s="3">
        <f t="shared" si="0"/>
        <v>20000</v>
      </c>
      <c r="H9" s="3">
        <v>480</v>
      </c>
      <c r="I9" s="3">
        <v>96</v>
      </c>
      <c r="J9" s="3">
        <v>96</v>
      </c>
      <c r="K9" s="3">
        <f t="shared" si="1"/>
        <v>2560</v>
      </c>
      <c r="P9" s="1" t="s">
        <v>99</v>
      </c>
      <c r="Q9" s="1" t="s">
        <v>205</v>
      </c>
      <c r="R9" s="1" t="s">
        <v>196</v>
      </c>
      <c r="S9" s="105" t="s">
        <v>197</v>
      </c>
      <c r="T9" s="105" t="s">
        <v>197</v>
      </c>
      <c r="U9" s="106" t="s">
        <v>197</v>
      </c>
      <c r="V9" s="106" t="s">
        <v>197</v>
      </c>
      <c r="W9" s="107" t="s">
        <v>197</v>
      </c>
      <c r="X9" s="105" t="s">
        <v>197</v>
      </c>
      <c r="Y9" s="218" t="s">
        <v>206</v>
      </c>
      <c r="Z9" s="218"/>
      <c r="AA9" s="218"/>
      <c r="AB9" s="218"/>
      <c r="AC9" s="220" t="s">
        <v>206</v>
      </c>
      <c r="AE9" s="1" t="s">
        <v>86</v>
      </c>
      <c r="AF9" s="46">
        <v>43739</v>
      </c>
      <c r="AG9" s="110" t="s">
        <v>206</v>
      </c>
      <c r="AH9" s="8" t="s">
        <v>200</v>
      </c>
      <c r="AI9" s="46" t="s">
        <v>210</v>
      </c>
      <c r="AJ9" s="8" t="s">
        <v>201</v>
      </c>
    </row>
    <row r="10" spans="1:39" x14ac:dyDescent="0.25">
      <c r="A10" s="312">
        <v>11</v>
      </c>
      <c r="B10" s="93">
        <v>1.2</v>
      </c>
      <c r="C10" s="12" t="s">
        <v>194</v>
      </c>
      <c r="D10" s="8" t="s">
        <v>211</v>
      </c>
      <c r="E10" s="1">
        <v>1</v>
      </c>
      <c r="F10" s="2">
        <v>28000</v>
      </c>
      <c r="G10" s="3">
        <f t="shared" si="0"/>
        <v>28000</v>
      </c>
      <c r="H10" s="108">
        <v>480</v>
      </c>
      <c r="I10" s="108">
        <v>96</v>
      </c>
      <c r="J10" s="108">
        <v>96</v>
      </c>
      <c r="K10" s="3">
        <f t="shared" si="1"/>
        <v>2560</v>
      </c>
      <c r="P10" s="1" t="s">
        <v>99</v>
      </c>
      <c r="Q10" s="1" t="s">
        <v>205</v>
      </c>
      <c r="R10" s="1" t="s">
        <v>196</v>
      </c>
      <c r="S10" s="105" t="s">
        <v>197</v>
      </c>
      <c r="T10" s="105" t="s">
        <v>197</v>
      </c>
      <c r="U10" s="109" t="s">
        <v>197</v>
      </c>
      <c r="V10" s="109" t="s">
        <v>197</v>
      </c>
      <c r="W10" s="107" t="s">
        <v>197</v>
      </c>
      <c r="X10" s="105" t="s">
        <v>197</v>
      </c>
      <c r="Y10" s="151" t="s">
        <v>198</v>
      </c>
      <c r="Z10" s="151"/>
      <c r="AA10" s="151">
        <v>10</v>
      </c>
      <c r="AB10" s="151" t="s">
        <v>199</v>
      </c>
      <c r="AC10" s="5">
        <v>44191</v>
      </c>
      <c r="AE10" s="1" t="s">
        <v>86</v>
      </c>
      <c r="AF10" s="46">
        <v>43739</v>
      </c>
      <c r="AG10" s="46">
        <v>44196</v>
      </c>
      <c r="AH10" s="8" t="s">
        <v>200</v>
      </c>
      <c r="AI10" s="46" t="s">
        <v>2</v>
      </c>
      <c r="AJ10" s="8" t="s">
        <v>201</v>
      </c>
    </row>
    <row r="11" spans="1:39" x14ac:dyDescent="0.25">
      <c r="A11" s="313">
        <v>12</v>
      </c>
      <c r="B11" s="93">
        <v>1.2</v>
      </c>
      <c r="C11" s="12" t="s">
        <v>194</v>
      </c>
      <c r="D11" s="8" t="s">
        <v>212</v>
      </c>
      <c r="E11" s="1">
        <v>1</v>
      </c>
      <c r="F11" s="2">
        <v>28000</v>
      </c>
      <c r="G11" s="3">
        <f t="shared" si="0"/>
        <v>28000</v>
      </c>
      <c r="H11" s="108">
        <v>480</v>
      </c>
      <c r="I11" s="108">
        <v>96</v>
      </c>
      <c r="J11" s="108">
        <v>96</v>
      </c>
      <c r="K11" s="3">
        <f t="shared" si="1"/>
        <v>2560</v>
      </c>
      <c r="P11" s="1" t="s">
        <v>99</v>
      </c>
      <c r="Q11" s="1" t="s">
        <v>205</v>
      </c>
      <c r="R11" s="1" t="s">
        <v>196</v>
      </c>
      <c r="S11" s="105" t="s">
        <v>197</v>
      </c>
      <c r="T11" s="105" t="s">
        <v>197</v>
      </c>
      <c r="U11" s="105" t="s">
        <v>197</v>
      </c>
      <c r="V11" s="105" t="s">
        <v>197</v>
      </c>
      <c r="W11" s="105" t="s">
        <v>197</v>
      </c>
      <c r="X11" s="105" t="s">
        <v>197</v>
      </c>
      <c r="Y11" s="218" t="s">
        <v>206</v>
      </c>
      <c r="Z11" s="218"/>
      <c r="AA11" s="218"/>
      <c r="AB11" s="218"/>
      <c r="AC11" s="220" t="s">
        <v>206</v>
      </c>
      <c r="AE11" s="1" t="s">
        <v>86</v>
      </c>
      <c r="AF11" s="46">
        <v>43739</v>
      </c>
      <c r="AG11" s="110" t="s">
        <v>206</v>
      </c>
      <c r="AH11" s="8" t="s">
        <v>200</v>
      </c>
      <c r="AI11" s="46" t="s">
        <v>210</v>
      </c>
      <c r="AJ11" s="8" t="s">
        <v>201</v>
      </c>
    </row>
    <row r="12" spans="1:39" x14ac:dyDescent="0.25">
      <c r="A12" s="8">
        <v>13</v>
      </c>
      <c r="B12" s="93">
        <v>1.2</v>
      </c>
      <c r="C12" s="12" t="s">
        <v>203</v>
      </c>
      <c r="D12" s="8" t="s">
        <v>213</v>
      </c>
      <c r="E12" s="1">
        <v>1</v>
      </c>
      <c r="F12" s="2">
        <v>14000</v>
      </c>
      <c r="G12" s="3">
        <f t="shared" si="0"/>
        <v>14000</v>
      </c>
      <c r="H12" s="108">
        <v>240</v>
      </c>
      <c r="I12" s="108">
        <v>96</v>
      </c>
      <c r="J12" s="108">
        <v>96</v>
      </c>
      <c r="K12" s="3">
        <f t="shared" si="1"/>
        <v>1280</v>
      </c>
      <c r="P12" s="1" t="s">
        <v>99</v>
      </c>
      <c r="Q12" s="1" t="s">
        <v>205</v>
      </c>
      <c r="R12" s="1" t="s">
        <v>196</v>
      </c>
      <c r="S12" s="105" t="s">
        <v>197</v>
      </c>
      <c r="T12" s="105" t="s">
        <v>197</v>
      </c>
      <c r="U12" s="105" t="s">
        <v>197</v>
      </c>
      <c r="V12" s="105" t="s">
        <v>197</v>
      </c>
      <c r="W12" s="105" t="s">
        <v>197</v>
      </c>
      <c r="X12" s="105" t="s">
        <v>197</v>
      </c>
      <c r="Y12" s="104" t="s">
        <v>214</v>
      </c>
      <c r="Z12" s="104"/>
      <c r="AA12" s="104"/>
      <c r="AB12" s="104"/>
      <c r="AC12" s="220" t="s">
        <v>206</v>
      </c>
      <c r="AE12" s="1" t="s">
        <v>86</v>
      </c>
      <c r="AF12" s="46">
        <v>43739</v>
      </c>
      <c r="AG12" s="110" t="s">
        <v>206</v>
      </c>
      <c r="AH12" s="8" t="s">
        <v>200</v>
      </c>
      <c r="AI12" s="46" t="s">
        <v>2</v>
      </c>
      <c r="AJ12" s="8" t="s">
        <v>201</v>
      </c>
    </row>
    <row r="13" spans="1:39" x14ac:dyDescent="0.25">
      <c r="A13" s="313">
        <v>14</v>
      </c>
      <c r="B13" s="93">
        <v>1.2</v>
      </c>
      <c r="C13" s="12" t="s">
        <v>203</v>
      </c>
      <c r="D13" s="14" t="s">
        <v>215</v>
      </c>
      <c r="E13" s="1">
        <v>1</v>
      </c>
      <c r="F13" s="2">
        <v>20000</v>
      </c>
      <c r="G13" s="3">
        <f t="shared" si="0"/>
        <v>20000</v>
      </c>
      <c r="H13" s="108">
        <v>480</v>
      </c>
      <c r="I13" s="108">
        <v>96</v>
      </c>
      <c r="J13" s="108">
        <v>96</v>
      </c>
      <c r="K13" s="3">
        <f t="shared" si="1"/>
        <v>2560</v>
      </c>
      <c r="P13" s="1" t="s">
        <v>99</v>
      </c>
      <c r="Q13" s="1" t="s">
        <v>205</v>
      </c>
      <c r="R13" s="1" t="s">
        <v>196</v>
      </c>
      <c r="S13" s="105" t="s">
        <v>197</v>
      </c>
      <c r="T13" s="105" t="s">
        <v>197</v>
      </c>
      <c r="U13" s="105" t="s">
        <v>197</v>
      </c>
      <c r="V13" s="105" t="s">
        <v>197</v>
      </c>
      <c r="W13" s="105" t="s">
        <v>197</v>
      </c>
      <c r="X13" s="105" t="s">
        <v>197</v>
      </c>
      <c r="Y13" s="218" t="s">
        <v>206</v>
      </c>
      <c r="Z13" s="218"/>
      <c r="AA13" s="218"/>
      <c r="AB13" s="218"/>
      <c r="AC13" s="220" t="s">
        <v>206</v>
      </c>
      <c r="AE13" s="1" t="s">
        <v>86</v>
      </c>
      <c r="AF13" s="46">
        <v>43739</v>
      </c>
      <c r="AG13" s="110" t="s">
        <v>206</v>
      </c>
      <c r="AH13" s="8" t="s">
        <v>200</v>
      </c>
      <c r="AI13" s="46" t="s">
        <v>2</v>
      </c>
      <c r="AJ13" s="8" t="s">
        <v>201</v>
      </c>
    </row>
    <row r="14" spans="1:39" x14ac:dyDescent="0.25">
      <c r="A14" s="312">
        <v>15</v>
      </c>
      <c r="B14" s="93">
        <v>1.2</v>
      </c>
      <c r="C14" s="12" t="s">
        <v>216</v>
      </c>
      <c r="D14" s="155" t="s">
        <v>217</v>
      </c>
      <c r="E14" s="1">
        <v>1</v>
      </c>
      <c r="F14" s="2">
        <v>1500</v>
      </c>
      <c r="G14" s="3">
        <f t="shared" si="0"/>
        <v>1500</v>
      </c>
      <c r="H14" s="3">
        <v>96</v>
      </c>
      <c r="I14" s="3">
        <v>72</v>
      </c>
      <c r="J14" s="3">
        <v>120</v>
      </c>
      <c r="K14" s="3">
        <f t="shared" si="1"/>
        <v>480</v>
      </c>
      <c r="P14" s="1" t="s">
        <v>99</v>
      </c>
      <c r="Q14" s="1" t="s">
        <v>86</v>
      </c>
      <c r="R14" s="1" t="s">
        <v>196</v>
      </c>
      <c r="S14" s="105" t="s">
        <v>197</v>
      </c>
      <c r="T14" s="105" t="s">
        <v>197</v>
      </c>
      <c r="U14" s="109" t="s">
        <v>197</v>
      </c>
      <c r="V14" s="109" t="s">
        <v>197</v>
      </c>
      <c r="W14" s="107" t="s">
        <v>197</v>
      </c>
      <c r="X14" s="105" t="s">
        <v>197</v>
      </c>
      <c r="Y14" s="151" t="s">
        <v>198</v>
      </c>
      <c r="Z14" s="151"/>
      <c r="AA14" s="151">
        <v>4</v>
      </c>
      <c r="AB14" s="151" t="s">
        <v>199</v>
      </c>
      <c r="AC14" s="5">
        <v>44163</v>
      </c>
      <c r="AE14" s="1" t="s">
        <v>86</v>
      </c>
      <c r="AF14" s="46">
        <v>43862</v>
      </c>
      <c r="AG14" s="46">
        <v>44136</v>
      </c>
      <c r="AH14" s="8" t="s">
        <v>200</v>
      </c>
      <c r="AI14" s="46" t="s">
        <v>2</v>
      </c>
      <c r="AJ14" s="8" t="s">
        <v>201</v>
      </c>
    </row>
    <row r="15" spans="1:39" x14ac:dyDescent="0.25">
      <c r="A15" s="8">
        <v>16</v>
      </c>
      <c r="B15" s="93">
        <v>1.2</v>
      </c>
      <c r="C15" s="12" t="s">
        <v>216</v>
      </c>
      <c r="D15" s="190" t="s">
        <v>218</v>
      </c>
      <c r="E15" s="1">
        <v>2</v>
      </c>
      <c r="F15" s="2">
        <v>400</v>
      </c>
      <c r="G15" s="3">
        <f t="shared" si="0"/>
        <v>800</v>
      </c>
      <c r="H15" s="3">
        <v>48</v>
      </c>
      <c r="I15" s="3">
        <v>48</v>
      </c>
      <c r="J15" s="3">
        <v>96</v>
      </c>
      <c r="K15" s="3">
        <f t="shared" si="1"/>
        <v>256</v>
      </c>
      <c r="P15" s="1" t="s">
        <v>99</v>
      </c>
      <c r="Q15" s="1" t="s">
        <v>86</v>
      </c>
      <c r="R15" s="1" t="s">
        <v>196</v>
      </c>
      <c r="S15" s="105" t="s">
        <v>197</v>
      </c>
      <c r="T15" s="105" t="s">
        <v>197</v>
      </c>
      <c r="U15" s="109" t="s">
        <v>197</v>
      </c>
      <c r="V15" s="109" t="s">
        <v>197</v>
      </c>
      <c r="W15" s="107" t="s">
        <v>197</v>
      </c>
      <c r="X15" s="105" t="s">
        <v>197</v>
      </c>
      <c r="Y15" s="151" t="s">
        <v>191</v>
      </c>
      <c r="Z15" s="151"/>
      <c r="AA15" s="151"/>
      <c r="AB15" s="151"/>
      <c r="AC15" s="5">
        <v>44156</v>
      </c>
      <c r="AE15" s="1" t="s">
        <v>25</v>
      </c>
      <c r="AF15" s="46"/>
      <c r="AG15" s="46"/>
      <c r="AI15" s="46"/>
    </row>
    <row r="16" spans="1:39" x14ac:dyDescent="0.25">
      <c r="A16" s="8">
        <v>17</v>
      </c>
      <c r="B16" s="93">
        <v>1.2</v>
      </c>
      <c r="C16" s="12" t="s">
        <v>216</v>
      </c>
      <c r="D16" s="191" t="s">
        <v>219</v>
      </c>
      <c r="E16" s="1">
        <v>1</v>
      </c>
      <c r="F16" s="2">
        <v>800</v>
      </c>
      <c r="G16" s="3">
        <f t="shared" si="0"/>
        <v>800</v>
      </c>
      <c r="H16" s="3">
        <v>36</v>
      </c>
      <c r="I16" s="3">
        <v>36</v>
      </c>
      <c r="J16" s="3">
        <v>72</v>
      </c>
      <c r="K16" s="3">
        <f t="shared" si="1"/>
        <v>54</v>
      </c>
      <c r="P16" s="1" t="s">
        <v>99</v>
      </c>
      <c r="Q16" s="1" t="s">
        <v>86</v>
      </c>
      <c r="R16" s="1" t="s">
        <v>87</v>
      </c>
      <c r="S16" s="243">
        <v>44099</v>
      </c>
      <c r="T16" s="4">
        <v>44109</v>
      </c>
      <c r="U16" s="153">
        <f>T16-S16</f>
        <v>10</v>
      </c>
      <c r="V16" s="15" t="s">
        <v>95</v>
      </c>
      <c r="W16" s="15" t="s">
        <v>190</v>
      </c>
      <c r="X16" s="154">
        <v>44149</v>
      </c>
      <c r="Y16" s="151" t="s">
        <v>191</v>
      </c>
      <c r="Z16" s="151"/>
      <c r="AA16" s="151"/>
      <c r="AB16" s="151"/>
      <c r="AC16" s="5">
        <v>44156</v>
      </c>
      <c r="AE16" s="1" t="s">
        <v>25</v>
      </c>
      <c r="AF16" s="46"/>
      <c r="AG16" s="46"/>
      <c r="AI16" s="46"/>
    </row>
    <row r="17" spans="1:37" x14ac:dyDescent="0.25">
      <c r="A17" s="8">
        <v>18</v>
      </c>
      <c r="B17" s="93">
        <v>1.2</v>
      </c>
      <c r="C17" s="12" t="s">
        <v>216</v>
      </c>
      <c r="D17" s="191" t="s">
        <v>220</v>
      </c>
      <c r="E17" s="1">
        <v>1</v>
      </c>
      <c r="F17" s="2">
        <v>800</v>
      </c>
      <c r="G17" s="3">
        <f t="shared" si="0"/>
        <v>800</v>
      </c>
      <c r="H17" s="3">
        <v>48</v>
      </c>
      <c r="I17" s="3">
        <v>48</v>
      </c>
      <c r="J17" s="3">
        <v>72</v>
      </c>
      <c r="K17" s="3">
        <f t="shared" si="1"/>
        <v>96</v>
      </c>
      <c r="P17" s="1" t="s">
        <v>99</v>
      </c>
      <c r="Q17" s="1" t="s">
        <v>86</v>
      </c>
      <c r="R17" s="1" t="s">
        <v>87</v>
      </c>
      <c r="S17" s="4">
        <v>44438</v>
      </c>
      <c r="T17" s="4">
        <v>44453</v>
      </c>
      <c r="U17" s="94">
        <f>T17-S17</f>
        <v>15</v>
      </c>
      <c r="V17" s="36" t="s">
        <v>221</v>
      </c>
      <c r="W17" s="36" t="s">
        <v>102</v>
      </c>
      <c r="X17" s="4">
        <v>44501</v>
      </c>
      <c r="Y17" s="104" t="s">
        <v>214</v>
      </c>
      <c r="Z17" s="104"/>
      <c r="AA17" s="104">
        <v>3</v>
      </c>
      <c r="AB17" s="104" t="s">
        <v>222</v>
      </c>
      <c r="AC17" s="5">
        <v>44561</v>
      </c>
      <c r="AE17" s="1" t="s">
        <v>25</v>
      </c>
      <c r="AF17" s="46"/>
      <c r="AG17" s="46"/>
      <c r="AI17" s="46"/>
    </row>
    <row r="18" spans="1:37" x14ac:dyDescent="0.25">
      <c r="A18" s="312">
        <v>19</v>
      </c>
      <c r="B18" s="93">
        <v>1.2</v>
      </c>
      <c r="C18" s="12" t="s">
        <v>223</v>
      </c>
      <c r="D18" s="191" t="s">
        <v>381</v>
      </c>
      <c r="E18" s="1">
        <v>1</v>
      </c>
      <c r="F18" s="2">
        <v>11972</v>
      </c>
      <c r="G18" s="3">
        <f t="shared" si="0"/>
        <v>11972</v>
      </c>
      <c r="H18" s="3">
        <v>264</v>
      </c>
      <c r="I18" s="3">
        <v>94</v>
      </c>
      <c r="J18" s="3">
        <v>97</v>
      </c>
      <c r="K18" s="3">
        <f t="shared" si="1"/>
        <v>1393.0277777777778</v>
      </c>
      <c r="L18" s="1" t="s">
        <v>224</v>
      </c>
      <c r="P18" s="1" t="s">
        <v>225</v>
      </c>
      <c r="Q18" s="1" t="s">
        <v>25</v>
      </c>
      <c r="R18" s="1" t="s">
        <v>196</v>
      </c>
      <c r="S18" s="243">
        <v>44136</v>
      </c>
      <c r="T18" s="105" t="s">
        <v>197</v>
      </c>
      <c r="U18" s="106" t="s">
        <v>197</v>
      </c>
      <c r="V18" s="106" t="s">
        <v>197</v>
      </c>
      <c r="W18" s="107" t="s">
        <v>197</v>
      </c>
      <c r="X18" s="105" t="s">
        <v>197</v>
      </c>
      <c r="Y18" s="151" t="s">
        <v>198</v>
      </c>
      <c r="Z18" s="151"/>
      <c r="AA18" s="151">
        <v>7</v>
      </c>
      <c r="AB18" s="151" t="s">
        <v>199</v>
      </c>
      <c r="AC18" s="5">
        <v>44191</v>
      </c>
      <c r="AE18" s="1" t="s">
        <v>86</v>
      </c>
      <c r="AF18" s="45">
        <v>43862</v>
      </c>
      <c r="AG18" s="45">
        <v>44196</v>
      </c>
      <c r="AH18" s="8" t="s">
        <v>200</v>
      </c>
      <c r="AI18" s="45" t="s">
        <v>2</v>
      </c>
      <c r="AJ18" s="8" t="s">
        <v>201</v>
      </c>
    </row>
    <row r="19" spans="1:37" x14ac:dyDescent="0.25">
      <c r="A19" s="8">
        <v>20</v>
      </c>
      <c r="B19" s="93">
        <v>1.2</v>
      </c>
      <c r="C19" s="12" t="s">
        <v>216</v>
      </c>
      <c r="D19" s="8" t="s">
        <v>226</v>
      </c>
      <c r="E19" s="1">
        <v>1</v>
      </c>
      <c r="F19" s="2">
        <v>9600</v>
      </c>
      <c r="G19" s="3">
        <f t="shared" si="0"/>
        <v>9600</v>
      </c>
      <c r="H19" s="3">
        <v>96</v>
      </c>
      <c r="I19" s="3">
        <v>96</v>
      </c>
      <c r="J19" s="3">
        <v>96</v>
      </c>
      <c r="K19" s="3">
        <f t="shared" si="1"/>
        <v>512</v>
      </c>
      <c r="P19" s="1" t="s">
        <v>99</v>
      </c>
      <c r="Q19" s="1" t="s">
        <v>86</v>
      </c>
      <c r="R19" s="1" t="s">
        <v>196</v>
      </c>
      <c r="S19" s="243">
        <v>44136</v>
      </c>
      <c r="T19" s="105" t="s">
        <v>197</v>
      </c>
      <c r="U19" s="106" t="s">
        <v>197</v>
      </c>
      <c r="V19" s="106" t="s">
        <v>197</v>
      </c>
      <c r="W19" s="107" t="s">
        <v>197</v>
      </c>
      <c r="X19" s="105" t="s">
        <v>197</v>
      </c>
      <c r="Y19" s="151" t="s">
        <v>191</v>
      </c>
      <c r="Z19" s="151"/>
      <c r="AA19" s="151"/>
      <c r="AB19" s="151"/>
      <c r="AC19" s="5">
        <v>44196</v>
      </c>
      <c r="AE19" s="1" t="s">
        <v>86</v>
      </c>
      <c r="AF19" s="45">
        <v>43862</v>
      </c>
      <c r="AG19" s="45">
        <v>44196</v>
      </c>
      <c r="AH19" s="8" t="s">
        <v>200</v>
      </c>
      <c r="AI19" s="45" t="s">
        <v>2</v>
      </c>
      <c r="AJ19" s="8" t="s">
        <v>201</v>
      </c>
    </row>
    <row r="20" spans="1:37" x14ac:dyDescent="0.25">
      <c r="A20" s="8">
        <v>21</v>
      </c>
      <c r="B20" s="93">
        <v>1.2</v>
      </c>
      <c r="C20" s="12" t="s">
        <v>216</v>
      </c>
      <c r="D20" s="8" t="s">
        <v>227</v>
      </c>
      <c r="E20" s="1">
        <v>2</v>
      </c>
      <c r="F20" s="9">
        <v>1100</v>
      </c>
      <c r="G20" s="3">
        <f t="shared" si="0"/>
        <v>2200</v>
      </c>
      <c r="H20" s="3">
        <v>96</v>
      </c>
      <c r="I20" s="3">
        <v>48</v>
      </c>
      <c r="J20" s="3">
        <v>48</v>
      </c>
      <c r="K20" s="3">
        <f t="shared" si="1"/>
        <v>256</v>
      </c>
      <c r="P20" s="1" t="s">
        <v>99</v>
      </c>
      <c r="Q20" s="1" t="s">
        <v>86</v>
      </c>
      <c r="R20" s="1" t="s">
        <v>87</v>
      </c>
      <c r="S20" s="243">
        <v>44099</v>
      </c>
      <c r="T20" s="4">
        <v>44109</v>
      </c>
      <c r="U20" s="153">
        <f t="shared" ref="U20:U39" si="2">T20-S20</f>
        <v>10</v>
      </c>
      <c r="V20" s="15" t="s">
        <v>95</v>
      </c>
      <c r="W20" s="15" t="s">
        <v>190</v>
      </c>
      <c r="X20" s="154">
        <v>44149</v>
      </c>
      <c r="Y20" s="151" t="s">
        <v>191</v>
      </c>
      <c r="Z20" s="151"/>
      <c r="AA20" s="151"/>
      <c r="AB20" s="151"/>
      <c r="AC20" s="5">
        <v>44196</v>
      </c>
      <c r="AE20" s="1" t="s">
        <v>25</v>
      </c>
      <c r="AF20" s="46"/>
      <c r="AG20" s="46"/>
      <c r="AI20" s="46"/>
    </row>
    <row r="21" spans="1:37" x14ac:dyDescent="0.25">
      <c r="A21" s="314">
        <v>22</v>
      </c>
      <c r="B21" s="93">
        <v>1.2</v>
      </c>
      <c r="C21" s="12" t="s">
        <v>115</v>
      </c>
      <c r="D21" s="8" t="s">
        <v>228</v>
      </c>
      <c r="E21" s="1">
        <v>1</v>
      </c>
      <c r="F21" s="2">
        <v>2000</v>
      </c>
      <c r="G21" s="3">
        <f t="shared" si="0"/>
        <v>2000</v>
      </c>
      <c r="H21" s="3">
        <v>96</v>
      </c>
      <c r="I21" s="3">
        <v>48</v>
      </c>
      <c r="J21" s="3">
        <v>48</v>
      </c>
      <c r="K21" s="3">
        <f t="shared" si="1"/>
        <v>128</v>
      </c>
      <c r="P21" s="1" t="s">
        <v>99</v>
      </c>
      <c r="Q21" s="1" t="s">
        <v>86</v>
      </c>
      <c r="R21" s="1" t="s">
        <v>87</v>
      </c>
      <c r="S21" s="243">
        <v>44136</v>
      </c>
      <c r="T21" s="4">
        <v>44146</v>
      </c>
      <c r="U21" s="94">
        <f t="shared" si="2"/>
        <v>10</v>
      </c>
      <c r="V21" s="36" t="s">
        <v>88</v>
      </c>
      <c r="W21" s="36" t="s">
        <v>88</v>
      </c>
      <c r="X21" s="4">
        <v>44228</v>
      </c>
      <c r="Y21" s="104" t="s">
        <v>89</v>
      </c>
      <c r="Z21" s="104"/>
      <c r="AA21" s="104"/>
      <c r="AB21" s="104"/>
      <c r="AC21" s="5">
        <v>44520</v>
      </c>
      <c r="AE21" s="1" t="s">
        <v>86</v>
      </c>
      <c r="AF21" s="45">
        <v>44228</v>
      </c>
      <c r="AG21" s="45">
        <v>44520</v>
      </c>
      <c r="AH21" s="8" t="s">
        <v>200</v>
      </c>
      <c r="AI21" s="45" t="s">
        <v>3</v>
      </c>
      <c r="AJ21" s="8" t="s">
        <v>201</v>
      </c>
    </row>
    <row r="22" spans="1:37" x14ac:dyDescent="0.25">
      <c r="A22" s="8">
        <v>23</v>
      </c>
      <c r="B22" s="93">
        <v>1.2</v>
      </c>
      <c r="C22" s="12" t="s">
        <v>115</v>
      </c>
      <c r="D22" s="8" t="s">
        <v>229</v>
      </c>
      <c r="E22" s="1">
        <v>2</v>
      </c>
      <c r="F22" s="2">
        <v>500</v>
      </c>
      <c r="G22" s="3">
        <f t="shared" si="0"/>
        <v>1000</v>
      </c>
      <c r="H22" s="3">
        <v>48</v>
      </c>
      <c r="I22" s="3">
        <v>48</v>
      </c>
      <c r="J22" s="3">
        <v>48</v>
      </c>
      <c r="K22" s="3">
        <f t="shared" si="1"/>
        <v>128</v>
      </c>
      <c r="M22" s="1">
        <v>1</v>
      </c>
      <c r="N22" s="1">
        <v>1</v>
      </c>
      <c r="P22" s="1" t="s">
        <v>193</v>
      </c>
      <c r="Q22" s="1" t="s">
        <v>25</v>
      </c>
      <c r="R22" s="1" t="s">
        <v>87</v>
      </c>
      <c r="S22" s="4">
        <v>44457</v>
      </c>
      <c r="T22" s="4">
        <v>44470</v>
      </c>
      <c r="U22" s="94">
        <f t="shared" si="2"/>
        <v>13</v>
      </c>
      <c r="V22" s="36" t="s">
        <v>230</v>
      </c>
      <c r="W22" s="1" t="s">
        <v>102</v>
      </c>
      <c r="X22" s="4">
        <v>44513</v>
      </c>
      <c r="Y22" s="104" t="s">
        <v>89</v>
      </c>
      <c r="Z22" s="104"/>
      <c r="AA22" s="104"/>
      <c r="AB22" s="104"/>
      <c r="AC22" s="5">
        <v>44520</v>
      </c>
      <c r="AE22" s="1" t="s">
        <v>25</v>
      </c>
    </row>
    <row r="23" spans="1:37" x14ac:dyDescent="0.25">
      <c r="A23" s="8">
        <v>24</v>
      </c>
      <c r="B23" s="93">
        <v>1.2</v>
      </c>
      <c r="C23" s="12" t="s">
        <v>115</v>
      </c>
      <c r="D23" s="8" t="s">
        <v>231</v>
      </c>
      <c r="E23" s="1">
        <v>2</v>
      </c>
      <c r="F23" s="2">
        <v>1000</v>
      </c>
      <c r="G23" s="3">
        <f t="shared" si="0"/>
        <v>2000</v>
      </c>
      <c r="H23" s="3">
        <v>96</v>
      </c>
      <c r="I23" s="3">
        <v>48</v>
      </c>
      <c r="J23" s="3">
        <v>48</v>
      </c>
      <c r="K23" s="3">
        <f t="shared" si="1"/>
        <v>256</v>
      </c>
      <c r="M23" s="1">
        <v>1</v>
      </c>
      <c r="N23" s="1">
        <v>1</v>
      </c>
      <c r="P23" s="1" t="s">
        <v>193</v>
      </c>
      <c r="Q23" s="1" t="s">
        <v>25</v>
      </c>
      <c r="R23" s="1" t="s">
        <v>87</v>
      </c>
      <c r="S23" s="4">
        <v>44457</v>
      </c>
      <c r="T23" s="4">
        <v>44470</v>
      </c>
      <c r="U23" s="94">
        <f t="shared" si="2"/>
        <v>13</v>
      </c>
      <c r="V23" s="36" t="s">
        <v>230</v>
      </c>
      <c r="W23" s="1" t="s">
        <v>102</v>
      </c>
      <c r="X23" s="4">
        <v>44513</v>
      </c>
      <c r="Y23" s="104" t="s">
        <v>89</v>
      </c>
      <c r="Z23" s="104"/>
      <c r="AA23" s="104"/>
      <c r="AB23" s="104"/>
      <c r="AC23" s="5">
        <v>44520</v>
      </c>
      <c r="AE23" s="1" t="s">
        <v>25</v>
      </c>
      <c r="AF23" s="45"/>
      <c r="AG23" s="45"/>
      <c r="AI23" s="45"/>
    </row>
    <row r="24" spans="1:37" x14ac:dyDescent="0.25">
      <c r="A24" s="8">
        <v>25</v>
      </c>
      <c r="B24" s="93">
        <v>1.2</v>
      </c>
      <c r="C24" s="12" t="s">
        <v>115</v>
      </c>
      <c r="D24" s="8" t="s">
        <v>232</v>
      </c>
      <c r="E24" s="1">
        <v>4</v>
      </c>
      <c r="F24" s="2">
        <v>1500</v>
      </c>
      <c r="G24" s="3">
        <f t="shared" si="0"/>
        <v>6000</v>
      </c>
      <c r="H24" s="3">
        <v>96</v>
      </c>
      <c r="I24" s="3">
        <v>48</v>
      </c>
      <c r="J24" s="3">
        <v>48</v>
      </c>
      <c r="K24" s="3">
        <f t="shared" si="1"/>
        <v>512</v>
      </c>
      <c r="P24" s="1" t="s">
        <v>99</v>
      </c>
      <c r="Q24" s="1" t="s">
        <v>86</v>
      </c>
      <c r="R24" s="1" t="s">
        <v>87</v>
      </c>
      <c r="S24" s="4">
        <v>44457</v>
      </c>
      <c r="T24" s="4">
        <v>44470</v>
      </c>
      <c r="U24" s="94">
        <f t="shared" si="2"/>
        <v>13</v>
      </c>
      <c r="V24" s="36" t="s">
        <v>101</v>
      </c>
      <c r="W24" s="1" t="s">
        <v>102</v>
      </c>
      <c r="X24" s="110">
        <v>44513</v>
      </c>
      <c r="Y24" s="104" t="s">
        <v>89</v>
      </c>
      <c r="Z24" s="104"/>
      <c r="AA24" s="104"/>
      <c r="AB24" s="104"/>
      <c r="AC24" s="5">
        <v>44520</v>
      </c>
      <c r="AE24" s="1" t="s">
        <v>25</v>
      </c>
    </row>
    <row r="25" spans="1:37" x14ac:dyDescent="0.25">
      <c r="A25" s="8">
        <v>26</v>
      </c>
      <c r="B25" s="93">
        <v>1.2</v>
      </c>
      <c r="C25" s="12" t="s">
        <v>115</v>
      </c>
      <c r="D25" s="8" t="s">
        <v>233</v>
      </c>
      <c r="E25" s="1">
        <v>1</v>
      </c>
      <c r="F25" s="2">
        <v>400</v>
      </c>
      <c r="G25" s="3">
        <f t="shared" si="0"/>
        <v>400</v>
      </c>
      <c r="H25" s="3">
        <v>48</v>
      </c>
      <c r="I25" s="3">
        <v>48</v>
      </c>
      <c r="J25" s="3">
        <v>48</v>
      </c>
      <c r="K25" s="3">
        <f t="shared" si="1"/>
        <v>64</v>
      </c>
      <c r="M25" s="1">
        <v>1</v>
      </c>
      <c r="N25" s="1">
        <v>1</v>
      </c>
      <c r="P25" s="1" t="s">
        <v>193</v>
      </c>
      <c r="Q25" s="1" t="s">
        <v>25</v>
      </c>
      <c r="R25" s="1" t="s">
        <v>87</v>
      </c>
      <c r="S25" s="4">
        <v>44457</v>
      </c>
      <c r="T25" s="4">
        <v>44470</v>
      </c>
      <c r="U25" s="94">
        <f t="shared" si="2"/>
        <v>13</v>
      </c>
      <c r="V25" s="36" t="s">
        <v>101</v>
      </c>
      <c r="W25" s="1" t="s">
        <v>102</v>
      </c>
      <c r="X25" s="110">
        <v>44513</v>
      </c>
      <c r="Y25" s="104" t="s">
        <v>89</v>
      </c>
      <c r="Z25" s="104"/>
      <c r="AA25" s="104"/>
      <c r="AB25" s="104"/>
      <c r="AC25" s="5">
        <v>44520</v>
      </c>
      <c r="AE25" s="1" t="s">
        <v>25</v>
      </c>
    </row>
    <row r="26" spans="1:37" x14ac:dyDescent="0.25">
      <c r="A26" s="8">
        <v>27</v>
      </c>
      <c r="B26" s="93">
        <v>1.2</v>
      </c>
      <c r="C26" s="12" t="s">
        <v>115</v>
      </c>
      <c r="D26" s="8" t="s">
        <v>234</v>
      </c>
      <c r="E26" s="1">
        <v>2</v>
      </c>
      <c r="F26" s="2">
        <v>2500</v>
      </c>
      <c r="G26" s="3">
        <f t="shared" si="0"/>
        <v>5000</v>
      </c>
      <c r="H26" s="3">
        <v>96</v>
      </c>
      <c r="I26" s="3">
        <v>48</v>
      </c>
      <c r="J26" s="3">
        <v>48</v>
      </c>
      <c r="K26" s="3">
        <f t="shared" si="1"/>
        <v>256</v>
      </c>
      <c r="P26" s="1" t="s">
        <v>99</v>
      </c>
      <c r="Q26" s="1" t="s">
        <v>86</v>
      </c>
      <c r="R26" s="1" t="s">
        <v>87</v>
      </c>
      <c r="S26" s="4">
        <v>44457</v>
      </c>
      <c r="T26" s="4">
        <v>44470</v>
      </c>
      <c r="U26" s="94">
        <f t="shared" si="2"/>
        <v>13</v>
      </c>
      <c r="V26" s="36" t="s">
        <v>101</v>
      </c>
      <c r="W26" s="1" t="s">
        <v>102</v>
      </c>
      <c r="X26" s="110">
        <v>44513</v>
      </c>
      <c r="Y26" s="104" t="s">
        <v>89</v>
      </c>
      <c r="Z26" s="104"/>
      <c r="AA26" s="104"/>
      <c r="AB26" s="104"/>
      <c r="AC26" s="5">
        <v>44520</v>
      </c>
      <c r="AE26" s="1" t="s">
        <v>25</v>
      </c>
    </row>
    <row r="27" spans="1:37" x14ac:dyDescent="0.25">
      <c r="A27" s="314">
        <v>28</v>
      </c>
      <c r="B27" s="93">
        <v>1.2</v>
      </c>
      <c r="C27" s="12" t="s">
        <v>115</v>
      </c>
      <c r="D27" s="8" t="s">
        <v>235</v>
      </c>
      <c r="E27" s="1">
        <v>1</v>
      </c>
      <c r="F27" s="2">
        <v>2000</v>
      </c>
      <c r="G27" s="3">
        <f t="shared" si="0"/>
        <v>2000</v>
      </c>
      <c r="H27" s="3">
        <v>96</v>
      </c>
      <c r="I27" s="3">
        <v>48</v>
      </c>
      <c r="J27" s="3">
        <v>48</v>
      </c>
      <c r="K27" s="3">
        <f t="shared" si="1"/>
        <v>128</v>
      </c>
      <c r="P27" s="1" t="s">
        <v>99</v>
      </c>
      <c r="Q27" s="1" t="s">
        <v>86</v>
      </c>
      <c r="R27" s="1" t="s">
        <v>87</v>
      </c>
      <c r="S27" s="243">
        <v>44136</v>
      </c>
      <c r="T27" s="4">
        <v>44146</v>
      </c>
      <c r="U27" s="94">
        <f t="shared" si="2"/>
        <v>10</v>
      </c>
      <c r="V27" s="36" t="s">
        <v>88</v>
      </c>
      <c r="W27" s="36" t="s">
        <v>88</v>
      </c>
      <c r="X27" s="4">
        <v>44228</v>
      </c>
      <c r="Y27" s="104" t="s">
        <v>89</v>
      </c>
      <c r="Z27" s="104"/>
      <c r="AA27" s="104"/>
      <c r="AB27" s="104"/>
      <c r="AC27" s="5">
        <v>44527</v>
      </c>
      <c r="AE27" s="1" t="s">
        <v>86</v>
      </c>
      <c r="AF27" s="45">
        <v>44228</v>
      </c>
      <c r="AG27" s="45">
        <v>44527</v>
      </c>
      <c r="AH27" s="8" t="s">
        <v>200</v>
      </c>
      <c r="AI27" s="45" t="s">
        <v>3</v>
      </c>
      <c r="AJ27" s="8" t="s">
        <v>201</v>
      </c>
    </row>
    <row r="28" spans="1:37" x14ac:dyDescent="0.25">
      <c r="A28" s="314">
        <v>29</v>
      </c>
      <c r="B28" s="93">
        <v>1.2</v>
      </c>
      <c r="C28" s="12" t="s">
        <v>115</v>
      </c>
      <c r="D28" s="8" t="s">
        <v>236</v>
      </c>
      <c r="E28" s="1">
        <v>1</v>
      </c>
      <c r="F28" s="2">
        <v>1500</v>
      </c>
      <c r="G28" s="3">
        <f t="shared" si="0"/>
        <v>1500</v>
      </c>
      <c r="H28" s="3">
        <v>48</v>
      </c>
      <c r="I28" s="3">
        <v>48</v>
      </c>
      <c r="J28" s="3">
        <v>48</v>
      </c>
      <c r="K28" s="3">
        <f t="shared" si="1"/>
        <v>64</v>
      </c>
      <c r="P28" s="1" t="s">
        <v>99</v>
      </c>
      <c r="Q28" s="1" t="s">
        <v>86</v>
      </c>
      <c r="R28" s="1" t="s">
        <v>87</v>
      </c>
      <c r="S28" s="243">
        <v>44136</v>
      </c>
      <c r="T28" s="4">
        <v>44146</v>
      </c>
      <c r="U28" s="94">
        <f t="shared" si="2"/>
        <v>10</v>
      </c>
      <c r="V28" s="36" t="s">
        <v>88</v>
      </c>
      <c r="W28" s="36" t="s">
        <v>88</v>
      </c>
      <c r="X28" s="4">
        <v>44228</v>
      </c>
      <c r="Y28" s="104" t="s">
        <v>89</v>
      </c>
      <c r="Z28" s="104"/>
      <c r="AA28" s="104"/>
      <c r="AB28" s="104"/>
      <c r="AC28" s="5">
        <v>44527</v>
      </c>
      <c r="AE28" s="1" t="s">
        <v>86</v>
      </c>
      <c r="AF28" s="46">
        <v>44228</v>
      </c>
      <c r="AG28" s="46">
        <v>44527</v>
      </c>
      <c r="AH28" s="8" t="s">
        <v>200</v>
      </c>
      <c r="AI28" s="45" t="s">
        <v>3</v>
      </c>
      <c r="AJ28" s="8" t="s">
        <v>201</v>
      </c>
    </row>
    <row r="29" spans="1:37" x14ac:dyDescent="0.25">
      <c r="A29" s="8">
        <v>30</v>
      </c>
      <c r="B29" s="93">
        <v>1.2</v>
      </c>
      <c r="C29" s="12" t="s">
        <v>237</v>
      </c>
      <c r="D29" s="8" t="s">
        <v>238</v>
      </c>
      <c r="E29" s="1">
        <v>1</v>
      </c>
      <c r="F29" s="2">
        <v>2000</v>
      </c>
      <c r="G29" s="3">
        <f t="shared" si="0"/>
        <v>2000</v>
      </c>
      <c r="H29" s="3">
        <v>72</v>
      </c>
      <c r="I29" s="3">
        <v>72</v>
      </c>
      <c r="J29" s="3">
        <v>72</v>
      </c>
      <c r="K29" s="3">
        <f t="shared" si="1"/>
        <v>216</v>
      </c>
      <c r="L29" s="1" t="s">
        <v>84</v>
      </c>
      <c r="P29" s="1" t="s">
        <v>225</v>
      </c>
      <c r="Q29" s="1" t="s">
        <v>86</v>
      </c>
      <c r="R29" s="1" t="s">
        <v>87</v>
      </c>
      <c r="S29" s="243">
        <v>44136</v>
      </c>
      <c r="T29" s="4">
        <v>44146</v>
      </c>
      <c r="U29" s="94">
        <f t="shared" si="2"/>
        <v>10</v>
      </c>
      <c r="V29" s="36" t="s">
        <v>88</v>
      </c>
      <c r="W29" s="36" t="s">
        <v>88</v>
      </c>
      <c r="X29" s="4">
        <v>44228</v>
      </c>
      <c r="Y29" s="104" t="s">
        <v>89</v>
      </c>
      <c r="Z29" s="104"/>
      <c r="AA29" s="104"/>
      <c r="AB29" s="104"/>
      <c r="AC29" s="5">
        <v>44561</v>
      </c>
      <c r="AE29" s="1" t="s">
        <v>86</v>
      </c>
      <c r="AF29" s="46">
        <v>44228</v>
      </c>
      <c r="AG29" s="46">
        <v>44527</v>
      </c>
      <c r="AH29" s="8" t="s">
        <v>200</v>
      </c>
      <c r="AI29" s="45" t="s">
        <v>3</v>
      </c>
      <c r="AJ29" s="8" t="s">
        <v>201</v>
      </c>
    </row>
    <row r="30" spans="1:37" x14ac:dyDescent="0.25">
      <c r="A30" s="8">
        <v>31</v>
      </c>
      <c r="B30" s="93">
        <v>1.2</v>
      </c>
      <c r="C30" s="12" t="s">
        <v>115</v>
      </c>
      <c r="D30" s="8" t="s">
        <v>239</v>
      </c>
      <c r="E30" s="1">
        <v>1</v>
      </c>
      <c r="F30" s="2">
        <v>600</v>
      </c>
      <c r="G30" s="3">
        <f t="shared" si="0"/>
        <v>600</v>
      </c>
      <c r="H30" s="3">
        <v>192</v>
      </c>
      <c r="I30" s="3">
        <v>24</v>
      </c>
      <c r="J30" s="3">
        <v>24</v>
      </c>
      <c r="K30" s="3">
        <f t="shared" si="1"/>
        <v>64</v>
      </c>
      <c r="L30" s="1" t="s">
        <v>84</v>
      </c>
      <c r="N30" s="1">
        <v>1</v>
      </c>
      <c r="P30" s="1" t="s">
        <v>193</v>
      </c>
      <c r="Q30" s="1" t="s">
        <v>25</v>
      </c>
      <c r="R30" s="1" t="s">
        <v>87</v>
      </c>
      <c r="S30" s="4">
        <v>44457</v>
      </c>
      <c r="T30" s="4">
        <v>44470</v>
      </c>
      <c r="U30" s="94">
        <f t="shared" si="2"/>
        <v>13</v>
      </c>
      <c r="V30" s="36" t="s">
        <v>101</v>
      </c>
      <c r="W30" s="1" t="s">
        <v>102</v>
      </c>
      <c r="X30" s="110">
        <v>44513</v>
      </c>
      <c r="Y30" s="104" t="s">
        <v>89</v>
      </c>
      <c r="Z30" s="104"/>
      <c r="AA30" s="104"/>
      <c r="AB30" s="104"/>
      <c r="AC30" s="111">
        <v>44597</v>
      </c>
      <c r="AE30" s="1" t="s">
        <v>86</v>
      </c>
      <c r="AF30" s="45">
        <v>44513</v>
      </c>
      <c r="AG30" s="45">
        <v>44597</v>
      </c>
      <c r="AH30" s="8" t="s">
        <v>200</v>
      </c>
      <c r="AI30" s="45" t="s">
        <v>4</v>
      </c>
      <c r="AJ30" s="8" t="s">
        <v>91</v>
      </c>
    </row>
    <row r="31" spans="1:37" x14ac:dyDescent="0.25">
      <c r="A31" s="8">
        <v>32</v>
      </c>
      <c r="B31" s="93">
        <v>1.2</v>
      </c>
      <c r="C31" s="12" t="s">
        <v>115</v>
      </c>
      <c r="D31" s="8" t="s">
        <v>239</v>
      </c>
      <c r="E31" s="1">
        <v>1</v>
      </c>
      <c r="F31" s="2">
        <v>600</v>
      </c>
      <c r="G31" s="3">
        <f t="shared" si="0"/>
        <v>600</v>
      </c>
      <c r="H31" s="3">
        <v>192</v>
      </c>
      <c r="I31" s="3">
        <v>24</v>
      </c>
      <c r="J31" s="3">
        <v>24</v>
      </c>
      <c r="K31" s="3">
        <f t="shared" si="1"/>
        <v>64</v>
      </c>
      <c r="L31" s="1" t="s">
        <v>84</v>
      </c>
      <c r="N31" s="1">
        <v>1</v>
      </c>
      <c r="P31" s="1" t="s">
        <v>193</v>
      </c>
      <c r="Q31" s="1" t="s">
        <v>25</v>
      </c>
      <c r="R31" s="1" t="s">
        <v>87</v>
      </c>
      <c r="S31" s="4">
        <v>44457</v>
      </c>
      <c r="T31" s="4">
        <v>44470</v>
      </c>
      <c r="U31" s="94">
        <f t="shared" si="2"/>
        <v>13</v>
      </c>
      <c r="V31" s="36" t="s">
        <v>101</v>
      </c>
      <c r="W31" s="1" t="s">
        <v>102</v>
      </c>
      <c r="X31" s="110">
        <v>44513</v>
      </c>
      <c r="Y31" s="104" t="s">
        <v>89</v>
      </c>
      <c r="Z31" s="104"/>
      <c r="AA31" s="104"/>
      <c r="AB31" s="104"/>
      <c r="AC31" s="111">
        <v>44597</v>
      </c>
      <c r="AE31" s="1" t="s">
        <v>86</v>
      </c>
      <c r="AF31" s="46">
        <v>44513</v>
      </c>
      <c r="AG31" s="46">
        <v>44597</v>
      </c>
      <c r="AH31" s="8" t="s">
        <v>200</v>
      </c>
      <c r="AI31" s="46" t="s">
        <v>4</v>
      </c>
      <c r="AJ31" s="48" t="s">
        <v>91</v>
      </c>
      <c r="AK31" s="48"/>
    </row>
    <row r="32" spans="1:37" x14ac:dyDescent="0.25">
      <c r="A32" s="8">
        <v>33</v>
      </c>
      <c r="B32" s="93">
        <v>1.2</v>
      </c>
      <c r="C32" s="12" t="s">
        <v>115</v>
      </c>
      <c r="D32" s="8" t="s">
        <v>239</v>
      </c>
      <c r="E32" s="1">
        <v>1</v>
      </c>
      <c r="F32" s="2">
        <v>600</v>
      </c>
      <c r="G32" s="3">
        <f t="shared" si="0"/>
        <v>600</v>
      </c>
      <c r="H32" s="3">
        <v>192</v>
      </c>
      <c r="I32" s="3">
        <v>24</v>
      </c>
      <c r="J32" s="3">
        <v>24</v>
      </c>
      <c r="K32" s="3">
        <f t="shared" si="1"/>
        <v>64</v>
      </c>
      <c r="L32" s="1" t="s">
        <v>84</v>
      </c>
      <c r="N32" s="1">
        <v>1</v>
      </c>
      <c r="P32" s="1" t="s">
        <v>193</v>
      </c>
      <c r="Q32" s="1" t="s">
        <v>25</v>
      </c>
      <c r="R32" s="1" t="s">
        <v>87</v>
      </c>
      <c r="S32" s="4">
        <v>44457</v>
      </c>
      <c r="T32" s="4">
        <v>44470</v>
      </c>
      <c r="U32" s="94">
        <f t="shared" si="2"/>
        <v>13</v>
      </c>
      <c r="V32" s="36" t="s">
        <v>101</v>
      </c>
      <c r="W32" s="1" t="s">
        <v>102</v>
      </c>
      <c r="X32" s="110">
        <v>44513</v>
      </c>
      <c r="Y32" s="104" t="s">
        <v>89</v>
      </c>
      <c r="Z32" s="104"/>
      <c r="AA32" s="104"/>
      <c r="AB32" s="104"/>
      <c r="AC32" s="111">
        <v>44597</v>
      </c>
      <c r="AE32" s="1" t="s">
        <v>86</v>
      </c>
      <c r="AF32" s="46">
        <v>44513</v>
      </c>
      <c r="AG32" s="46">
        <v>44597</v>
      </c>
      <c r="AH32" s="8" t="s">
        <v>200</v>
      </c>
      <c r="AI32" s="46" t="s">
        <v>4</v>
      </c>
      <c r="AJ32" s="48" t="s">
        <v>91</v>
      </c>
      <c r="AK32" s="48"/>
    </row>
    <row r="33" spans="1:37" x14ac:dyDescent="0.25">
      <c r="A33" s="8">
        <v>34</v>
      </c>
      <c r="B33" s="93">
        <v>1.2</v>
      </c>
      <c r="C33" s="12" t="s">
        <v>223</v>
      </c>
      <c r="D33" s="191" t="s">
        <v>240</v>
      </c>
      <c r="E33" s="1">
        <v>1</v>
      </c>
      <c r="F33" s="2">
        <v>8000</v>
      </c>
      <c r="G33" s="3">
        <f t="shared" si="0"/>
        <v>8000</v>
      </c>
      <c r="H33" s="3">
        <v>192</v>
      </c>
      <c r="I33" s="3">
        <v>96</v>
      </c>
      <c r="J33" s="3">
        <v>96</v>
      </c>
      <c r="K33" s="3">
        <f t="shared" si="1"/>
        <v>1024</v>
      </c>
      <c r="P33" s="1" t="s">
        <v>99</v>
      </c>
      <c r="Q33" s="1" t="s">
        <v>86</v>
      </c>
      <c r="R33" s="1" t="s">
        <v>87</v>
      </c>
      <c r="S33" s="4">
        <v>44438</v>
      </c>
      <c r="T33" s="4">
        <v>44453</v>
      </c>
      <c r="U33" s="94">
        <f t="shared" si="2"/>
        <v>15</v>
      </c>
      <c r="V33" s="36" t="s">
        <v>221</v>
      </c>
      <c r="W33" s="36" t="s">
        <v>102</v>
      </c>
      <c r="X33" s="4">
        <v>44501</v>
      </c>
      <c r="Y33" s="104" t="s">
        <v>214</v>
      </c>
      <c r="Z33" s="104"/>
      <c r="AA33" s="104">
        <v>1</v>
      </c>
      <c r="AB33" s="104" t="s">
        <v>222</v>
      </c>
      <c r="AC33" s="5">
        <v>44561</v>
      </c>
      <c r="AE33" s="1" t="s">
        <v>25</v>
      </c>
      <c r="AF33" s="45"/>
      <c r="AG33" s="45"/>
      <c r="AI33" s="45"/>
    </row>
    <row r="34" spans="1:37" x14ac:dyDescent="0.25">
      <c r="A34" s="8">
        <v>35</v>
      </c>
      <c r="B34" s="93">
        <v>1.2</v>
      </c>
      <c r="C34" s="12" t="s">
        <v>82</v>
      </c>
      <c r="D34" s="8" t="s">
        <v>241</v>
      </c>
      <c r="E34" s="1">
        <v>1</v>
      </c>
      <c r="F34" s="2">
        <v>3000</v>
      </c>
      <c r="G34" s="3">
        <f t="shared" ref="G34:G66" si="3">E34*F34</f>
        <v>3000</v>
      </c>
      <c r="H34" s="3">
        <v>72</v>
      </c>
      <c r="I34" s="3">
        <v>72</v>
      </c>
      <c r="J34" s="3">
        <v>72</v>
      </c>
      <c r="K34" s="3">
        <f t="shared" ref="K34:K66" si="4">((H34*I34*J34)/1728)*E34</f>
        <v>216</v>
      </c>
      <c r="P34" s="1" t="s">
        <v>99</v>
      </c>
      <c r="Q34" s="1" t="s">
        <v>86</v>
      </c>
      <c r="R34" s="1" t="s">
        <v>87</v>
      </c>
      <c r="S34" s="4">
        <v>44438</v>
      </c>
      <c r="T34" s="4">
        <v>44453</v>
      </c>
      <c r="U34" s="94">
        <f t="shared" si="2"/>
        <v>15</v>
      </c>
      <c r="V34" s="36" t="s">
        <v>221</v>
      </c>
      <c r="W34" s="36" t="s">
        <v>102</v>
      </c>
      <c r="X34" s="4">
        <v>44501</v>
      </c>
      <c r="Y34" s="104" t="s">
        <v>214</v>
      </c>
      <c r="Z34" s="104"/>
      <c r="AA34" s="104">
        <v>7</v>
      </c>
      <c r="AB34" s="104" t="s">
        <v>222</v>
      </c>
      <c r="AC34" s="5">
        <v>44561</v>
      </c>
      <c r="AE34" s="1" t="s">
        <v>25</v>
      </c>
      <c r="AF34" s="45"/>
      <c r="AG34" s="45"/>
      <c r="AI34" s="45"/>
    </row>
    <row r="35" spans="1:37" x14ac:dyDescent="0.25">
      <c r="A35" s="314">
        <v>36</v>
      </c>
      <c r="B35" s="93">
        <v>1.2</v>
      </c>
      <c r="C35" s="12" t="s">
        <v>223</v>
      </c>
      <c r="D35" s="8" t="s">
        <v>242</v>
      </c>
      <c r="E35" s="1">
        <v>1</v>
      </c>
      <c r="F35" s="2">
        <v>3500</v>
      </c>
      <c r="G35" s="3">
        <f t="shared" si="3"/>
        <v>3500</v>
      </c>
      <c r="H35" s="3">
        <v>72</v>
      </c>
      <c r="I35" s="3">
        <v>72</v>
      </c>
      <c r="J35" s="3">
        <v>72</v>
      </c>
      <c r="K35" s="3">
        <f t="shared" si="4"/>
        <v>216</v>
      </c>
      <c r="P35" s="1" t="s">
        <v>99</v>
      </c>
      <c r="Q35" s="1" t="s">
        <v>86</v>
      </c>
      <c r="R35" s="1" t="s">
        <v>87</v>
      </c>
      <c r="S35" s="243">
        <v>44136</v>
      </c>
      <c r="T35" s="4">
        <v>44146</v>
      </c>
      <c r="U35" s="94">
        <f t="shared" si="2"/>
        <v>10</v>
      </c>
      <c r="V35" s="36" t="s">
        <v>88</v>
      </c>
      <c r="W35" s="36" t="s">
        <v>88</v>
      </c>
      <c r="X35" s="4">
        <v>44228</v>
      </c>
      <c r="Y35" s="104" t="s">
        <v>214</v>
      </c>
      <c r="Z35" s="104"/>
      <c r="AA35" s="104">
        <v>2</v>
      </c>
      <c r="AB35" s="104" t="s">
        <v>222</v>
      </c>
      <c r="AC35" s="5">
        <v>44561</v>
      </c>
      <c r="AE35" s="1" t="s">
        <v>86</v>
      </c>
      <c r="AF35" s="45">
        <v>44228</v>
      </c>
      <c r="AG35" s="45">
        <v>44561</v>
      </c>
      <c r="AH35" s="8" t="s">
        <v>200</v>
      </c>
      <c r="AI35" s="45" t="s">
        <v>3</v>
      </c>
      <c r="AJ35" s="8" t="s">
        <v>201</v>
      </c>
    </row>
    <row r="36" spans="1:37" x14ac:dyDescent="0.25">
      <c r="A36" s="314">
        <v>37</v>
      </c>
      <c r="B36" s="93">
        <v>1.2</v>
      </c>
      <c r="C36" s="12" t="s">
        <v>82</v>
      </c>
      <c r="D36" s="8" t="s">
        <v>243</v>
      </c>
      <c r="E36" s="1">
        <v>1</v>
      </c>
      <c r="F36" s="2">
        <v>3000</v>
      </c>
      <c r="G36" s="3">
        <f t="shared" si="3"/>
        <v>3000</v>
      </c>
      <c r="H36" s="3">
        <v>72</v>
      </c>
      <c r="I36" s="3">
        <v>72</v>
      </c>
      <c r="J36" s="3">
        <v>72</v>
      </c>
      <c r="K36" s="3">
        <f t="shared" si="4"/>
        <v>216</v>
      </c>
      <c r="P36" s="1" t="s">
        <v>99</v>
      </c>
      <c r="Q36" s="1" t="s">
        <v>86</v>
      </c>
      <c r="R36" s="1" t="s">
        <v>87</v>
      </c>
      <c r="S36" s="243">
        <v>44136</v>
      </c>
      <c r="T36" s="4">
        <v>44146</v>
      </c>
      <c r="U36" s="94">
        <f t="shared" si="2"/>
        <v>10</v>
      </c>
      <c r="V36" s="36" t="s">
        <v>88</v>
      </c>
      <c r="W36" s="36" t="s">
        <v>88</v>
      </c>
      <c r="X36" s="4">
        <v>44228</v>
      </c>
      <c r="Y36" s="104" t="s">
        <v>214</v>
      </c>
      <c r="Z36" s="104"/>
      <c r="AA36" s="104">
        <v>8</v>
      </c>
      <c r="AB36" s="104" t="s">
        <v>222</v>
      </c>
      <c r="AC36" s="5">
        <v>44561</v>
      </c>
      <c r="AE36" s="1" t="s">
        <v>86</v>
      </c>
      <c r="AF36" s="45">
        <v>44228</v>
      </c>
      <c r="AG36" s="45">
        <v>44561</v>
      </c>
      <c r="AH36" s="8" t="s">
        <v>200</v>
      </c>
      <c r="AI36" s="45" t="s">
        <v>3</v>
      </c>
      <c r="AJ36" s="8" t="s">
        <v>201</v>
      </c>
    </row>
    <row r="37" spans="1:37" x14ac:dyDescent="0.25">
      <c r="A37" s="8">
        <v>38</v>
      </c>
      <c r="B37" s="93">
        <v>1.2</v>
      </c>
      <c r="C37" s="12" t="s">
        <v>115</v>
      </c>
      <c r="D37" s="8" t="s">
        <v>244</v>
      </c>
      <c r="E37" s="1">
        <v>2</v>
      </c>
      <c r="F37" s="2">
        <v>1500</v>
      </c>
      <c r="G37" s="3">
        <f t="shared" si="3"/>
        <v>3000</v>
      </c>
      <c r="H37" s="3">
        <v>96</v>
      </c>
      <c r="I37" s="3">
        <v>48</v>
      </c>
      <c r="J37" s="3">
        <v>48</v>
      </c>
      <c r="K37" s="3">
        <f t="shared" si="4"/>
        <v>256</v>
      </c>
      <c r="P37" s="1" t="s">
        <v>99</v>
      </c>
      <c r="Q37" s="1" t="s">
        <v>86</v>
      </c>
      <c r="R37" s="1" t="s">
        <v>87</v>
      </c>
      <c r="S37" s="4">
        <v>44822</v>
      </c>
      <c r="T37" s="4">
        <v>44835</v>
      </c>
      <c r="U37" s="94">
        <f t="shared" si="2"/>
        <v>13</v>
      </c>
      <c r="V37" s="36" t="s">
        <v>245</v>
      </c>
      <c r="W37" s="1" t="s">
        <v>246</v>
      </c>
      <c r="X37" s="4">
        <v>44874</v>
      </c>
      <c r="Y37" s="95" t="s">
        <v>247</v>
      </c>
      <c r="Z37" s="95"/>
      <c r="AA37" s="95"/>
      <c r="AB37" s="95"/>
      <c r="AC37" s="5">
        <v>44881</v>
      </c>
      <c r="AE37" s="1" t="s">
        <v>25</v>
      </c>
    </row>
    <row r="38" spans="1:37" x14ac:dyDescent="0.25">
      <c r="A38" s="8">
        <v>39</v>
      </c>
      <c r="B38" s="93">
        <v>1.2</v>
      </c>
      <c r="C38" s="12" t="s">
        <v>115</v>
      </c>
      <c r="D38" s="8" t="s">
        <v>248</v>
      </c>
      <c r="E38" s="1">
        <v>1</v>
      </c>
      <c r="F38" s="2">
        <v>600</v>
      </c>
      <c r="G38" s="3">
        <f t="shared" si="3"/>
        <v>600</v>
      </c>
      <c r="H38" s="3">
        <v>96</v>
      </c>
      <c r="I38" s="3">
        <v>48</v>
      </c>
      <c r="J38" s="3">
        <v>48</v>
      </c>
      <c r="K38" s="3">
        <f t="shared" si="4"/>
        <v>128</v>
      </c>
      <c r="N38" s="1">
        <v>1</v>
      </c>
      <c r="P38" s="1" t="s">
        <v>193</v>
      </c>
      <c r="Q38" s="1" t="s">
        <v>25</v>
      </c>
      <c r="R38" s="1" t="s">
        <v>87</v>
      </c>
      <c r="S38" s="4">
        <v>44822</v>
      </c>
      <c r="T38" s="4">
        <v>44836</v>
      </c>
      <c r="U38" s="94">
        <f t="shared" si="2"/>
        <v>14</v>
      </c>
      <c r="V38" s="36" t="s">
        <v>245</v>
      </c>
      <c r="W38" s="1" t="s">
        <v>246</v>
      </c>
      <c r="X38" s="4">
        <v>44874</v>
      </c>
      <c r="Y38" s="95" t="s">
        <v>247</v>
      </c>
      <c r="Z38" s="95"/>
      <c r="AA38" s="95"/>
      <c r="AB38" s="95"/>
      <c r="AC38" s="5">
        <v>44881</v>
      </c>
      <c r="AE38" s="1" t="s">
        <v>25</v>
      </c>
    </row>
    <row r="39" spans="1:37" x14ac:dyDescent="0.25">
      <c r="A39" s="313">
        <v>40</v>
      </c>
      <c r="B39" s="93">
        <v>1.2</v>
      </c>
      <c r="C39" s="12" t="s">
        <v>82</v>
      </c>
      <c r="D39" s="8" t="s">
        <v>83</v>
      </c>
      <c r="E39" s="1">
        <v>4</v>
      </c>
      <c r="F39" s="2">
        <v>4800</v>
      </c>
      <c r="G39" s="3">
        <f t="shared" si="3"/>
        <v>19200</v>
      </c>
      <c r="H39" s="3">
        <v>92</v>
      </c>
      <c r="I39" s="3">
        <v>92</v>
      </c>
      <c r="J39" s="3">
        <v>72</v>
      </c>
      <c r="K39" s="3">
        <f t="shared" si="4"/>
        <v>1410.6666666666667</v>
      </c>
      <c r="L39" s="1" t="s">
        <v>84</v>
      </c>
      <c r="P39" s="1" t="s">
        <v>85</v>
      </c>
      <c r="Q39" s="1" t="s">
        <v>86</v>
      </c>
      <c r="R39" s="1" t="s">
        <v>87</v>
      </c>
      <c r="S39" s="243">
        <v>44136</v>
      </c>
      <c r="T39" s="4">
        <v>44146</v>
      </c>
      <c r="U39" s="94">
        <f t="shared" si="2"/>
        <v>10</v>
      </c>
      <c r="V39" s="36" t="s">
        <v>88</v>
      </c>
      <c r="W39" s="36" t="s">
        <v>88</v>
      </c>
      <c r="X39" s="4">
        <v>44228</v>
      </c>
      <c r="Y39" s="95" t="s">
        <v>247</v>
      </c>
      <c r="Z39" s="104"/>
      <c r="AA39" s="104"/>
      <c r="AB39" s="104"/>
      <c r="AC39" s="5">
        <v>44881</v>
      </c>
      <c r="AE39" s="1" t="s">
        <v>86</v>
      </c>
      <c r="AF39" s="45">
        <v>44228</v>
      </c>
      <c r="AG39" s="45">
        <v>44896</v>
      </c>
      <c r="AH39" s="8" t="s">
        <v>200</v>
      </c>
      <c r="AI39" s="45" t="s">
        <v>249</v>
      </c>
      <c r="AJ39" s="8" t="s">
        <v>250</v>
      </c>
    </row>
    <row r="40" spans="1:37" x14ac:dyDescent="0.25">
      <c r="A40" s="313">
        <v>41</v>
      </c>
      <c r="B40" s="93">
        <v>1.2</v>
      </c>
      <c r="C40" s="12" t="s">
        <v>82</v>
      </c>
      <c r="D40" s="8" t="s">
        <v>251</v>
      </c>
      <c r="E40" s="1">
        <v>9</v>
      </c>
      <c r="F40" s="2">
        <v>4800</v>
      </c>
      <c r="G40" s="3">
        <f t="shared" si="3"/>
        <v>43200</v>
      </c>
      <c r="H40" s="3">
        <v>92</v>
      </c>
      <c r="I40" s="3">
        <v>92</v>
      </c>
      <c r="J40" s="3">
        <v>72</v>
      </c>
      <c r="K40" s="3">
        <f t="shared" si="4"/>
        <v>3174</v>
      </c>
      <c r="L40" s="1" t="s">
        <v>84</v>
      </c>
      <c r="P40" s="1" t="s">
        <v>85</v>
      </c>
      <c r="Q40" s="1" t="s">
        <v>86</v>
      </c>
      <c r="R40" s="1" t="s">
        <v>94</v>
      </c>
      <c r="S40" s="243">
        <v>44044</v>
      </c>
      <c r="U40" s="94"/>
      <c r="V40" s="36" t="s">
        <v>95</v>
      </c>
      <c r="W40" s="36" t="s">
        <v>88</v>
      </c>
      <c r="X40" s="4">
        <v>44228</v>
      </c>
      <c r="Y40" s="104" t="s">
        <v>89</v>
      </c>
      <c r="Z40" s="104"/>
      <c r="AA40" s="104"/>
      <c r="AB40" s="104"/>
      <c r="AC40" s="5">
        <v>44527</v>
      </c>
      <c r="AE40" s="1" t="s">
        <v>86</v>
      </c>
      <c r="AF40" s="45">
        <v>44228</v>
      </c>
      <c r="AG40" s="45">
        <v>44531</v>
      </c>
      <c r="AH40" s="8" t="s">
        <v>200</v>
      </c>
      <c r="AI40" s="45" t="s">
        <v>3</v>
      </c>
      <c r="AJ40" s="8" t="s">
        <v>250</v>
      </c>
      <c r="AK40" s="8" t="s">
        <v>252</v>
      </c>
    </row>
    <row r="41" spans="1:37" x14ac:dyDescent="0.25">
      <c r="A41" s="8">
        <v>42</v>
      </c>
      <c r="B41" s="93">
        <v>1.4</v>
      </c>
      <c r="C41" s="12" t="s">
        <v>115</v>
      </c>
      <c r="D41" s="8" t="s">
        <v>253</v>
      </c>
      <c r="E41" s="1">
        <v>2</v>
      </c>
      <c r="F41" s="2">
        <v>1500</v>
      </c>
      <c r="G41" s="3">
        <f t="shared" si="3"/>
        <v>3000</v>
      </c>
      <c r="H41" s="3">
        <v>96</v>
      </c>
      <c r="I41" s="3">
        <v>48</v>
      </c>
      <c r="J41" s="3">
        <v>48</v>
      </c>
      <c r="K41" s="3">
        <f t="shared" si="4"/>
        <v>256</v>
      </c>
      <c r="M41" s="1">
        <v>1</v>
      </c>
      <c r="P41" s="1" t="s">
        <v>99</v>
      </c>
      <c r="Q41" s="1" t="s">
        <v>86</v>
      </c>
      <c r="R41" s="1" t="s">
        <v>87</v>
      </c>
      <c r="S41" s="4">
        <v>44440</v>
      </c>
      <c r="T41" s="4">
        <v>44455</v>
      </c>
      <c r="U41" s="94">
        <f t="shared" ref="U41:U67" si="5">T41-S41</f>
        <v>15</v>
      </c>
      <c r="V41" s="36" t="s">
        <v>101</v>
      </c>
      <c r="W41" s="1" t="s">
        <v>102</v>
      </c>
      <c r="X41" s="4">
        <v>44513</v>
      </c>
      <c r="Y41" s="104" t="s">
        <v>89</v>
      </c>
      <c r="Z41" s="104"/>
      <c r="AA41" s="104"/>
      <c r="AB41" s="104"/>
      <c r="AC41" s="5">
        <v>44597</v>
      </c>
      <c r="AE41" s="1" t="s">
        <v>86</v>
      </c>
      <c r="AF41" s="45">
        <v>44513</v>
      </c>
      <c r="AG41" s="45">
        <v>44896</v>
      </c>
      <c r="AH41" s="8" t="s">
        <v>90</v>
      </c>
      <c r="AI41" s="45" t="s">
        <v>4</v>
      </c>
      <c r="AJ41" s="8" t="s">
        <v>201</v>
      </c>
    </row>
    <row r="42" spans="1:37" x14ac:dyDescent="0.25">
      <c r="A42" s="8">
        <v>43</v>
      </c>
      <c r="B42" s="93">
        <v>1.4</v>
      </c>
      <c r="C42" s="12" t="s">
        <v>115</v>
      </c>
      <c r="D42" s="8" t="s">
        <v>254</v>
      </c>
      <c r="E42" s="1">
        <v>5</v>
      </c>
      <c r="F42" s="2">
        <v>1500</v>
      </c>
      <c r="G42" s="3">
        <f t="shared" si="3"/>
        <v>7500</v>
      </c>
      <c r="H42" s="3">
        <v>96</v>
      </c>
      <c r="I42" s="3">
        <v>48</v>
      </c>
      <c r="J42" s="3">
        <v>48</v>
      </c>
      <c r="K42" s="3">
        <f t="shared" si="4"/>
        <v>640</v>
      </c>
      <c r="M42" s="1">
        <v>1</v>
      </c>
      <c r="P42" s="1" t="s">
        <v>99</v>
      </c>
      <c r="Q42" s="1" t="s">
        <v>86</v>
      </c>
      <c r="R42" s="1" t="s">
        <v>87</v>
      </c>
      <c r="S42" s="110">
        <v>44515</v>
      </c>
      <c r="T42" s="4">
        <v>44530</v>
      </c>
      <c r="U42" s="94">
        <f t="shared" si="5"/>
        <v>15</v>
      </c>
      <c r="V42" s="36" t="s">
        <v>255</v>
      </c>
      <c r="W42" s="36" t="s">
        <v>255</v>
      </c>
      <c r="X42" s="4">
        <v>44593</v>
      </c>
      <c r="Y42" s="95" t="s">
        <v>247</v>
      </c>
      <c r="Z42" s="95"/>
      <c r="AA42" s="95"/>
      <c r="AB42" s="95"/>
      <c r="AC42" s="5">
        <v>44891</v>
      </c>
      <c r="AE42" s="1" t="s">
        <v>86</v>
      </c>
      <c r="AF42" s="45">
        <v>44593</v>
      </c>
      <c r="AG42" s="45">
        <v>44891</v>
      </c>
      <c r="AH42" s="8" t="s">
        <v>200</v>
      </c>
      <c r="AI42" s="45" t="s">
        <v>4</v>
      </c>
      <c r="AJ42" s="8" t="s">
        <v>201</v>
      </c>
    </row>
    <row r="43" spans="1:37" x14ac:dyDescent="0.25">
      <c r="A43" s="314">
        <v>44</v>
      </c>
      <c r="B43" s="93">
        <v>1.4</v>
      </c>
      <c r="C43" s="12" t="s">
        <v>115</v>
      </c>
      <c r="D43" s="8" t="s">
        <v>256</v>
      </c>
      <c r="E43" s="1">
        <v>7</v>
      </c>
      <c r="F43" s="2">
        <v>500</v>
      </c>
      <c r="G43" s="3">
        <f t="shared" si="3"/>
        <v>3500</v>
      </c>
      <c r="H43" s="3">
        <v>36</v>
      </c>
      <c r="I43" s="3">
        <v>24</v>
      </c>
      <c r="J43" s="3">
        <v>24</v>
      </c>
      <c r="K43" s="3">
        <f t="shared" si="4"/>
        <v>84</v>
      </c>
      <c r="L43" s="1" t="s">
        <v>122</v>
      </c>
      <c r="M43" s="1">
        <v>1</v>
      </c>
      <c r="P43" s="1" t="s">
        <v>99</v>
      </c>
      <c r="Q43" s="1" t="s">
        <v>86</v>
      </c>
      <c r="R43" s="1" t="s">
        <v>87</v>
      </c>
      <c r="S43" s="243">
        <v>44150</v>
      </c>
      <c r="T43" s="4">
        <v>44165</v>
      </c>
      <c r="U43" s="94">
        <f t="shared" si="5"/>
        <v>15</v>
      </c>
      <c r="V43" s="36" t="s">
        <v>88</v>
      </c>
      <c r="W43" s="36" t="s">
        <v>88</v>
      </c>
      <c r="X43" s="4">
        <v>44228</v>
      </c>
      <c r="Y43" s="104" t="s">
        <v>89</v>
      </c>
      <c r="Z43" s="104"/>
      <c r="AA43" s="104"/>
      <c r="AB43" s="104"/>
      <c r="AC43" s="5">
        <v>44597</v>
      </c>
      <c r="AE43" s="1" t="s">
        <v>86</v>
      </c>
      <c r="AF43" s="45">
        <v>44228</v>
      </c>
      <c r="AG43" s="45">
        <v>44597</v>
      </c>
      <c r="AH43" s="8" t="s">
        <v>200</v>
      </c>
      <c r="AI43" s="45" t="s">
        <v>3</v>
      </c>
      <c r="AJ43" s="8" t="s">
        <v>201</v>
      </c>
    </row>
    <row r="44" spans="1:37" x14ac:dyDescent="0.25">
      <c r="A44" s="8">
        <v>45</v>
      </c>
      <c r="B44" s="93">
        <v>1.4</v>
      </c>
      <c r="C44" s="12" t="s">
        <v>96</v>
      </c>
      <c r="D44" s="8" t="s">
        <v>97</v>
      </c>
      <c r="E44" s="1">
        <v>1</v>
      </c>
      <c r="F44" s="2">
        <v>15000</v>
      </c>
      <c r="G44" s="3">
        <f t="shared" si="3"/>
        <v>15000</v>
      </c>
      <c r="H44" s="3">
        <v>93</v>
      </c>
      <c r="I44" s="3">
        <v>95</v>
      </c>
      <c r="J44" s="3">
        <v>93</v>
      </c>
      <c r="K44" s="3">
        <f t="shared" si="4"/>
        <v>475.49479166666669</v>
      </c>
      <c r="L44" s="1" t="s">
        <v>98</v>
      </c>
      <c r="M44" s="1">
        <v>1</v>
      </c>
      <c r="P44" s="1" t="s">
        <v>257</v>
      </c>
      <c r="Q44" s="1" t="s">
        <v>25</v>
      </c>
      <c r="R44" s="1" t="s">
        <v>100</v>
      </c>
      <c r="S44" s="4">
        <v>44454</v>
      </c>
      <c r="T44" s="4">
        <v>44469</v>
      </c>
      <c r="U44" s="94">
        <f t="shared" si="5"/>
        <v>15</v>
      </c>
      <c r="V44" s="36" t="s">
        <v>101</v>
      </c>
      <c r="W44" s="1" t="s">
        <v>102</v>
      </c>
      <c r="X44" s="4">
        <v>44513</v>
      </c>
      <c r="Y44" s="104" t="s">
        <v>89</v>
      </c>
      <c r="Z44" s="104"/>
      <c r="AA44" s="104"/>
      <c r="AB44" s="104"/>
      <c r="AC44" s="5">
        <v>44597</v>
      </c>
      <c r="AE44" s="1" t="s">
        <v>86</v>
      </c>
      <c r="AF44" s="45">
        <v>44597</v>
      </c>
      <c r="AG44" s="45">
        <v>44896</v>
      </c>
      <c r="AH44" s="8" t="s">
        <v>90</v>
      </c>
      <c r="AI44" s="45" t="s">
        <v>4</v>
      </c>
      <c r="AJ44" s="8" t="s">
        <v>258</v>
      </c>
    </row>
    <row r="45" spans="1:37" x14ac:dyDescent="0.25">
      <c r="A45" s="8">
        <v>46</v>
      </c>
      <c r="B45" s="93">
        <v>1.4</v>
      </c>
      <c r="C45" s="12" t="s">
        <v>96</v>
      </c>
      <c r="D45" s="8" t="s">
        <v>103</v>
      </c>
      <c r="E45" s="1">
        <v>1</v>
      </c>
      <c r="F45" s="2">
        <v>15000</v>
      </c>
      <c r="G45" s="3">
        <f t="shared" si="3"/>
        <v>15000</v>
      </c>
      <c r="H45" s="3">
        <v>93</v>
      </c>
      <c r="I45" s="3">
        <v>95</v>
      </c>
      <c r="J45" s="3">
        <v>93</v>
      </c>
      <c r="K45" s="3">
        <f t="shared" si="4"/>
        <v>475.49479166666669</v>
      </c>
      <c r="L45" s="1" t="s">
        <v>98</v>
      </c>
      <c r="M45" s="1">
        <v>1</v>
      </c>
      <c r="P45" s="1" t="s">
        <v>257</v>
      </c>
      <c r="Q45" s="1" t="s">
        <v>25</v>
      </c>
      <c r="R45" s="1" t="s">
        <v>100</v>
      </c>
      <c r="S45" s="4">
        <v>44454</v>
      </c>
      <c r="T45" s="4">
        <v>44469</v>
      </c>
      <c r="U45" s="94">
        <f t="shared" si="5"/>
        <v>15</v>
      </c>
      <c r="V45" s="36" t="s">
        <v>101</v>
      </c>
      <c r="W45" s="1" t="s">
        <v>102</v>
      </c>
      <c r="X45" s="4">
        <v>44513</v>
      </c>
      <c r="Y45" s="104" t="s">
        <v>89</v>
      </c>
      <c r="Z45" s="104"/>
      <c r="AA45" s="104"/>
      <c r="AB45" s="104"/>
      <c r="AC45" s="5">
        <v>44597</v>
      </c>
      <c r="AE45" s="1" t="s">
        <v>86</v>
      </c>
      <c r="AF45" s="45">
        <v>44597</v>
      </c>
      <c r="AG45" s="45">
        <v>44896</v>
      </c>
      <c r="AH45" s="8" t="s">
        <v>90</v>
      </c>
      <c r="AI45" s="45" t="s">
        <v>4</v>
      </c>
      <c r="AJ45" s="8" t="s">
        <v>258</v>
      </c>
    </row>
    <row r="46" spans="1:37" x14ac:dyDescent="0.25">
      <c r="A46" s="8">
        <v>47</v>
      </c>
      <c r="B46" s="93">
        <v>1.4</v>
      </c>
      <c r="C46" s="12" t="s">
        <v>96</v>
      </c>
      <c r="D46" s="8" t="s">
        <v>259</v>
      </c>
      <c r="E46" s="1">
        <v>1</v>
      </c>
      <c r="F46" s="2">
        <v>15000</v>
      </c>
      <c r="G46" s="3">
        <f t="shared" si="3"/>
        <v>15000</v>
      </c>
      <c r="H46" s="3">
        <v>93</v>
      </c>
      <c r="I46" s="3">
        <v>95</v>
      </c>
      <c r="J46" s="3">
        <v>93</v>
      </c>
      <c r="K46" s="3">
        <f t="shared" si="4"/>
        <v>475.49479166666669</v>
      </c>
      <c r="L46" s="1" t="s">
        <v>98</v>
      </c>
      <c r="M46" s="1">
        <v>1</v>
      </c>
      <c r="P46" s="1" t="s">
        <v>99</v>
      </c>
      <c r="Q46" s="1" t="s">
        <v>25</v>
      </c>
      <c r="R46" s="1" t="s">
        <v>100</v>
      </c>
      <c r="S46" s="4">
        <v>44515</v>
      </c>
      <c r="T46" s="4">
        <v>44530</v>
      </c>
      <c r="U46" s="94">
        <f t="shared" si="5"/>
        <v>15</v>
      </c>
      <c r="V46" s="36" t="s">
        <v>255</v>
      </c>
      <c r="W46" s="36" t="s">
        <v>255</v>
      </c>
      <c r="X46" s="4">
        <v>44593</v>
      </c>
      <c r="Y46" s="95" t="s">
        <v>247</v>
      </c>
      <c r="Z46" s="95"/>
      <c r="AA46" s="95"/>
      <c r="AB46" s="95"/>
      <c r="AC46" s="5">
        <v>44891</v>
      </c>
      <c r="AE46" s="1" t="s">
        <v>86</v>
      </c>
      <c r="AF46" s="45">
        <v>44593</v>
      </c>
      <c r="AG46" s="45">
        <v>44891</v>
      </c>
      <c r="AH46" s="8" t="s">
        <v>200</v>
      </c>
      <c r="AI46" s="45" t="s">
        <v>4</v>
      </c>
      <c r="AJ46" s="8" t="s">
        <v>201</v>
      </c>
    </row>
    <row r="47" spans="1:37" x14ac:dyDescent="0.25">
      <c r="A47" s="8">
        <v>48</v>
      </c>
      <c r="B47" s="93">
        <v>1.4</v>
      </c>
      <c r="C47" s="12" t="s">
        <v>96</v>
      </c>
      <c r="D47" s="8" t="s">
        <v>260</v>
      </c>
      <c r="E47" s="1">
        <v>1</v>
      </c>
      <c r="F47" s="2">
        <v>15000</v>
      </c>
      <c r="G47" s="3">
        <f t="shared" si="3"/>
        <v>15000</v>
      </c>
      <c r="H47" s="3">
        <v>93</v>
      </c>
      <c r="I47" s="3">
        <v>95</v>
      </c>
      <c r="J47" s="3">
        <v>93</v>
      </c>
      <c r="K47" s="3">
        <f t="shared" si="4"/>
        <v>475.49479166666669</v>
      </c>
      <c r="L47" s="1" t="s">
        <v>98</v>
      </c>
      <c r="M47" s="1">
        <v>1</v>
      </c>
      <c r="P47" s="1" t="s">
        <v>99</v>
      </c>
      <c r="Q47" s="1" t="s">
        <v>25</v>
      </c>
      <c r="R47" s="1" t="s">
        <v>100</v>
      </c>
      <c r="S47" s="4">
        <v>44515</v>
      </c>
      <c r="T47" s="4">
        <v>44530</v>
      </c>
      <c r="U47" s="94">
        <f t="shared" si="5"/>
        <v>15</v>
      </c>
      <c r="V47" s="36" t="s">
        <v>255</v>
      </c>
      <c r="W47" s="36" t="s">
        <v>255</v>
      </c>
      <c r="X47" s="4">
        <v>44593</v>
      </c>
      <c r="Y47" s="95" t="s">
        <v>247</v>
      </c>
      <c r="Z47" s="95"/>
      <c r="AA47" s="95"/>
      <c r="AB47" s="95"/>
      <c r="AC47" s="5">
        <v>44891</v>
      </c>
      <c r="AE47" s="1" t="s">
        <v>86</v>
      </c>
      <c r="AF47" s="45">
        <v>44593</v>
      </c>
      <c r="AG47" s="45">
        <v>44891</v>
      </c>
      <c r="AH47" s="8" t="s">
        <v>200</v>
      </c>
      <c r="AI47" s="45" t="s">
        <v>4</v>
      </c>
      <c r="AJ47" s="8" t="s">
        <v>201</v>
      </c>
    </row>
    <row r="48" spans="1:37" x14ac:dyDescent="0.25">
      <c r="A48" s="8">
        <v>49</v>
      </c>
      <c r="B48" s="93">
        <v>1.4</v>
      </c>
      <c r="C48" s="12" t="s">
        <v>96</v>
      </c>
      <c r="D48" s="8" t="s">
        <v>261</v>
      </c>
      <c r="E48" s="1">
        <v>1</v>
      </c>
      <c r="F48" s="2">
        <v>15000</v>
      </c>
      <c r="G48" s="3">
        <f t="shared" si="3"/>
        <v>15000</v>
      </c>
      <c r="H48" s="3">
        <v>93</v>
      </c>
      <c r="I48" s="3">
        <v>95</v>
      </c>
      <c r="J48" s="3">
        <v>93</v>
      </c>
      <c r="K48" s="3">
        <f t="shared" si="4"/>
        <v>475.49479166666669</v>
      </c>
      <c r="L48" s="1" t="s">
        <v>98</v>
      </c>
      <c r="M48" s="1">
        <v>1</v>
      </c>
      <c r="P48" s="1" t="s">
        <v>99</v>
      </c>
      <c r="Q48" s="1" t="s">
        <v>25</v>
      </c>
      <c r="R48" s="1" t="s">
        <v>100</v>
      </c>
      <c r="S48" s="4">
        <v>44515</v>
      </c>
      <c r="T48" s="4">
        <v>44530</v>
      </c>
      <c r="U48" s="94">
        <f t="shared" si="5"/>
        <v>15</v>
      </c>
      <c r="V48" s="36" t="s">
        <v>255</v>
      </c>
      <c r="W48" s="36" t="s">
        <v>255</v>
      </c>
      <c r="X48" s="4">
        <v>44593</v>
      </c>
      <c r="Y48" s="95" t="s">
        <v>247</v>
      </c>
      <c r="Z48" s="95"/>
      <c r="AA48" s="95"/>
      <c r="AB48" s="95"/>
      <c r="AC48" s="5">
        <v>44891</v>
      </c>
      <c r="AE48" s="1" t="s">
        <v>86</v>
      </c>
      <c r="AF48" s="45">
        <v>44593</v>
      </c>
      <c r="AG48" s="45">
        <v>44891</v>
      </c>
      <c r="AH48" s="8" t="s">
        <v>200</v>
      </c>
      <c r="AI48" s="45" t="s">
        <v>4</v>
      </c>
      <c r="AJ48" s="8" t="s">
        <v>201</v>
      </c>
    </row>
    <row r="49" spans="1:36" x14ac:dyDescent="0.25">
      <c r="A49" s="8">
        <v>50</v>
      </c>
      <c r="B49" s="93">
        <v>1.4</v>
      </c>
      <c r="C49" s="12" t="s">
        <v>96</v>
      </c>
      <c r="D49" s="8" t="s">
        <v>262</v>
      </c>
      <c r="E49" s="1">
        <v>1</v>
      </c>
      <c r="F49" s="2">
        <v>15000</v>
      </c>
      <c r="G49" s="3">
        <f t="shared" si="3"/>
        <v>15000</v>
      </c>
      <c r="H49" s="3">
        <v>93</v>
      </c>
      <c r="I49" s="3">
        <v>95</v>
      </c>
      <c r="J49" s="3">
        <v>93</v>
      </c>
      <c r="K49" s="3">
        <f t="shared" si="4"/>
        <v>475.49479166666669</v>
      </c>
      <c r="L49" s="1" t="s">
        <v>98</v>
      </c>
      <c r="M49" s="1">
        <v>1</v>
      </c>
      <c r="P49" s="1" t="s">
        <v>99</v>
      </c>
      <c r="Q49" s="1" t="s">
        <v>25</v>
      </c>
      <c r="R49" s="1" t="s">
        <v>100</v>
      </c>
      <c r="S49" s="4">
        <v>44515</v>
      </c>
      <c r="T49" s="4">
        <v>44530</v>
      </c>
      <c r="U49" s="94">
        <f t="shared" si="5"/>
        <v>15</v>
      </c>
      <c r="V49" s="36" t="s">
        <v>255</v>
      </c>
      <c r="W49" s="36" t="s">
        <v>255</v>
      </c>
      <c r="X49" s="4">
        <v>44593</v>
      </c>
      <c r="Y49" s="95" t="s">
        <v>247</v>
      </c>
      <c r="Z49" s="95"/>
      <c r="AA49" s="95"/>
      <c r="AB49" s="95"/>
      <c r="AC49" s="5">
        <v>44891</v>
      </c>
      <c r="AE49" s="1" t="s">
        <v>86</v>
      </c>
      <c r="AF49" s="45">
        <v>44593</v>
      </c>
      <c r="AG49" s="45">
        <v>44891</v>
      </c>
      <c r="AH49" s="8" t="s">
        <v>200</v>
      </c>
      <c r="AI49" s="45" t="s">
        <v>4</v>
      </c>
      <c r="AJ49" s="8" t="s">
        <v>201</v>
      </c>
    </row>
    <row r="50" spans="1:36" x14ac:dyDescent="0.25">
      <c r="A50" s="8">
        <v>51</v>
      </c>
      <c r="B50" s="93">
        <v>1.4</v>
      </c>
      <c r="C50" s="12" t="s">
        <v>96</v>
      </c>
      <c r="D50" s="8" t="s">
        <v>263</v>
      </c>
      <c r="E50" s="1">
        <v>1</v>
      </c>
      <c r="F50" s="2">
        <v>15000</v>
      </c>
      <c r="G50" s="3">
        <f t="shared" si="3"/>
        <v>15000</v>
      </c>
      <c r="H50" s="3">
        <v>93</v>
      </c>
      <c r="I50" s="3">
        <v>95</v>
      </c>
      <c r="J50" s="3">
        <v>93</v>
      </c>
      <c r="K50" s="3">
        <f t="shared" si="4"/>
        <v>475.49479166666669</v>
      </c>
      <c r="L50" s="1" t="s">
        <v>98</v>
      </c>
      <c r="M50" s="1">
        <v>1</v>
      </c>
      <c r="P50" s="1" t="s">
        <v>99</v>
      </c>
      <c r="Q50" s="1" t="s">
        <v>25</v>
      </c>
      <c r="R50" s="1" t="s">
        <v>100</v>
      </c>
      <c r="S50" s="4">
        <v>44515</v>
      </c>
      <c r="T50" s="4">
        <v>44530</v>
      </c>
      <c r="U50" s="94">
        <f t="shared" si="5"/>
        <v>15</v>
      </c>
      <c r="V50" s="36" t="s">
        <v>255</v>
      </c>
      <c r="W50" s="36" t="s">
        <v>255</v>
      </c>
      <c r="X50" s="4">
        <v>44593</v>
      </c>
      <c r="Y50" s="95" t="s">
        <v>247</v>
      </c>
      <c r="Z50" s="95"/>
      <c r="AA50" s="95"/>
      <c r="AB50" s="95"/>
      <c r="AC50" s="5">
        <v>44891</v>
      </c>
      <c r="AE50" s="1" t="s">
        <v>86</v>
      </c>
      <c r="AF50" s="45">
        <v>44593</v>
      </c>
      <c r="AG50" s="45">
        <v>44891</v>
      </c>
      <c r="AH50" s="8" t="s">
        <v>200</v>
      </c>
      <c r="AI50" s="45" t="s">
        <v>4</v>
      </c>
      <c r="AJ50" s="8" t="s">
        <v>201</v>
      </c>
    </row>
    <row r="51" spans="1:36" x14ac:dyDescent="0.25">
      <c r="A51" s="8">
        <v>52</v>
      </c>
      <c r="B51" s="93">
        <v>1.4</v>
      </c>
      <c r="C51" s="12" t="s">
        <v>115</v>
      </c>
      <c r="D51" s="8" t="s">
        <v>264</v>
      </c>
      <c r="E51" s="1">
        <v>2</v>
      </c>
      <c r="F51" s="2">
        <v>1000</v>
      </c>
      <c r="G51" s="3">
        <f t="shared" si="3"/>
        <v>2000</v>
      </c>
      <c r="H51" s="3">
        <v>72</v>
      </c>
      <c r="I51" s="3">
        <v>48</v>
      </c>
      <c r="J51" s="3">
        <v>24</v>
      </c>
      <c r="K51" s="3">
        <f t="shared" si="4"/>
        <v>96</v>
      </c>
      <c r="L51" s="1" t="s">
        <v>265</v>
      </c>
      <c r="M51" s="1">
        <v>1</v>
      </c>
      <c r="P51" s="1" t="s">
        <v>99</v>
      </c>
      <c r="Q51" s="1" t="s">
        <v>25</v>
      </c>
      <c r="R51" s="1" t="s">
        <v>100</v>
      </c>
      <c r="S51" s="110">
        <v>44440</v>
      </c>
      <c r="T51" s="4">
        <v>44455</v>
      </c>
      <c r="U51" s="94">
        <f t="shared" si="5"/>
        <v>15</v>
      </c>
      <c r="V51" s="36" t="s">
        <v>101</v>
      </c>
      <c r="W51" s="1" t="s">
        <v>102</v>
      </c>
      <c r="X51" s="4">
        <v>44513</v>
      </c>
      <c r="Y51" s="104" t="s">
        <v>89</v>
      </c>
      <c r="Z51" s="104"/>
      <c r="AA51" s="104"/>
      <c r="AB51" s="104"/>
      <c r="AC51" s="5">
        <v>44597</v>
      </c>
      <c r="AE51" s="1" t="s">
        <v>86</v>
      </c>
      <c r="AF51" s="45">
        <v>44597</v>
      </c>
      <c r="AG51" s="45">
        <v>44896</v>
      </c>
      <c r="AH51" s="8" t="s">
        <v>90</v>
      </c>
      <c r="AI51" s="45" t="s">
        <v>4</v>
      </c>
      <c r="AJ51" s="8" t="s">
        <v>201</v>
      </c>
    </row>
    <row r="52" spans="1:36" x14ac:dyDescent="0.25">
      <c r="A52" s="8">
        <v>53</v>
      </c>
      <c r="B52" s="93">
        <v>1.4</v>
      </c>
      <c r="C52" s="12" t="s">
        <v>115</v>
      </c>
      <c r="D52" s="8" t="s">
        <v>266</v>
      </c>
      <c r="E52" s="1">
        <v>5</v>
      </c>
      <c r="F52" s="2">
        <v>1000</v>
      </c>
      <c r="G52" s="3">
        <f t="shared" si="3"/>
        <v>5000</v>
      </c>
      <c r="H52" s="3">
        <v>72</v>
      </c>
      <c r="I52" s="3">
        <v>48</v>
      </c>
      <c r="J52" s="3">
        <v>24</v>
      </c>
      <c r="K52" s="3">
        <f t="shared" si="4"/>
        <v>240</v>
      </c>
      <c r="L52" s="1" t="s">
        <v>265</v>
      </c>
      <c r="M52" s="1">
        <v>1</v>
      </c>
      <c r="P52" s="1" t="s">
        <v>99</v>
      </c>
      <c r="Q52" s="1" t="s">
        <v>25</v>
      </c>
      <c r="R52" s="1" t="s">
        <v>100</v>
      </c>
      <c r="S52" s="110">
        <v>44515</v>
      </c>
      <c r="T52" s="4">
        <v>44530</v>
      </c>
      <c r="U52" s="94">
        <f t="shared" si="5"/>
        <v>15</v>
      </c>
      <c r="V52" s="36" t="s">
        <v>255</v>
      </c>
      <c r="W52" s="36" t="s">
        <v>255</v>
      </c>
      <c r="X52" s="4">
        <v>44593</v>
      </c>
      <c r="Y52" s="95" t="s">
        <v>247</v>
      </c>
      <c r="Z52" s="95"/>
      <c r="AA52" s="95"/>
      <c r="AB52" s="95"/>
      <c r="AC52" s="5">
        <v>44891</v>
      </c>
      <c r="AE52" s="1" t="s">
        <v>86</v>
      </c>
      <c r="AF52" s="45">
        <v>44593</v>
      </c>
      <c r="AG52" s="45">
        <v>44891</v>
      </c>
      <c r="AH52" s="8" t="s">
        <v>200</v>
      </c>
      <c r="AI52" s="45" t="s">
        <v>4</v>
      </c>
      <c r="AJ52" s="8" t="s">
        <v>201</v>
      </c>
    </row>
    <row r="53" spans="1:36" x14ac:dyDescent="0.25">
      <c r="A53" s="8">
        <v>54</v>
      </c>
      <c r="B53" s="93">
        <v>1.4</v>
      </c>
      <c r="C53" s="12" t="s">
        <v>115</v>
      </c>
      <c r="D53" s="8" t="s">
        <v>267</v>
      </c>
      <c r="E53" s="1">
        <v>7</v>
      </c>
      <c r="F53" s="2">
        <v>1000</v>
      </c>
      <c r="G53" s="3">
        <f t="shared" si="3"/>
        <v>7000</v>
      </c>
      <c r="H53" s="3">
        <v>72</v>
      </c>
      <c r="I53" s="3">
        <v>72</v>
      </c>
      <c r="J53" s="3">
        <v>72</v>
      </c>
      <c r="K53" s="3">
        <f t="shared" si="4"/>
        <v>1512</v>
      </c>
      <c r="L53" s="1" t="s">
        <v>265</v>
      </c>
      <c r="M53" s="1">
        <v>1</v>
      </c>
      <c r="P53" s="1" t="s">
        <v>99</v>
      </c>
      <c r="Q53" s="1" t="s">
        <v>25</v>
      </c>
      <c r="R53" s="1" t="s">
        <v>100</v>
      </c>
      <c r="S53" s="110">
        <v>44440</v>
      </c>
      <c r="T53" s="4">
        <v>44455</v>
      </c>
      <c r="U53" s="94">
        <f t="shared" si="5"/>
        <v>15</v>
      </c>
      <c r="V53" s="36" t="s">
        <v>101</v>
      </c>
      <c r="W53" s="1" t="s">
        <v>102</v>
      </c>
      <c r="X53" s="4">
        <v>44513</v>
      </c>
      <c r="Y53" s="104" t="s">
        <v>89</v>
      </c>
      <c r="Z53" s="104"/>
      <c r="AA53" s="104"/>
      <c r="AB53" s="104"/>
      <c r="AC53" s="5">
        <v>44520</v>
      </c>
      <c r="AE53" s="1" t="s">
        <v>25</v>
      </c>
      <c r="AH53" s="8" t="s">
        <v>99</v>
      </c>
      <c r="AI53" s="8" t="s">
        <v>99</v>
      </c>
      <c r="AJ53" s="8" t="s">
        <v>99</v>
      </c>
    </row>
    <row r="54" spans="1:36" x14ac:dyDescent="0.25">
      <c r="A54" s="8">
        <v>55</v>
      </c>
      <c r="B54" s="93">
        <v>1.4</v>
      </c>
      <c r="C54" s="12" t="s">
        <v>115</v>
      </c>
      <c r="D54" s="8" t="s">
        <v>268</v>
      </c>
      <c r="E54" s="1">
        <v>2</v>
      </c>
      <c r="F54" s="2">
        <v>1000</v>
      </c>
      <c r="G54" s="3">
        <f t="shared" si="3"/>
        <v>2000</v>
      </c>
      <c r="H54" s="3">
        <v>96</v>
      </c>
      <c r="I54" s="3">
        <v>48</v>
      </c>
      <c r="J54" s="3">
        <v>48</v>
      </c>
      <c r="K54" s="3">
        <f t="shared" si="4"/>
        <v>256</v>
      </c>
      <c r="L54" s="1" t="s">
        <v>265</v>
      </c>
      <c r="M54" s="1">
        <v>1</v>
      </c>
      <c r="P54" s="1" t="s">
        <v>99</v>
      </c>
      <c r="Q54" s="1" t="s">
        <v>25</v>
      </c>
      <c r="R54" s="1" t="s">
        <v>100</v>
      </c>
      <c r="S54" s="110">
        <v>44440</v>
      </c>
      <c r="T54" s="4">
        <v>44455</v>
      </c>
      <c r="U54" s="94">
        <f t="shared" si="5"/>
        <v>15</v>
      </c>
      <c r="V54" s="36" t="s">
        <v>101</v>
      </c>
      <c r="W54" s="1" t="s">
        <v>102</v>
      </c>
      <c r="X54" s="4">
        <v>44513</v>
      </c>
      <c r="Y54" s="104" t="s">
        <v>89</v>
      </c>
      <c r="Z54" s="104"/>
      <c r="AA54" s="104"/>
      <c r="AB54" s="104"/>
      <c r="AC54" s="5">
        <v>44520</v>
      </c>
      <c r="AE54" s="1" t="s">
        <v>25</v>
      </c>
      <c r="AH54" s="8" t="s">
        <v>99</v>
      </c>
      <c r="AI54" s="8" t="s">
        <v>99</v>
      </c>
      <c r="AJ54" s="8" t="s">
        <v>99</v>
      </c>
    </row>
    <row r="55" spans="1:36" ht="30" x14ac:dyDescent="0.25">
      <c r="A55" s="8">
        <v>56</v>
      </c>
      <c r="B55" s="93">
        <v>1.3</v>
      </c>
      <c r="C55" s="12" t="s">
        <v>104</v>
      </c>
      <c r="D55" s="8" t="s">
        <v>269</v>
      </c>
      <c r="E55" s="1">
        <v>16</v>
      </c>
      <c r="F55" s="2">
        <v>500</v>
      </c>
      <c r="G55" s="3">
        <f t="shared" si="3"/>
        <v>8000</v>
      </c>
      <c r="H55" s="3">
        <v>40</v>
      </c>
      <c r="I55" s="3">
        <v>48</v>
      </c>
      <c r="J55" s="3">
        <v>46</v>
      </c>
      <c r="K55" s="3">
        <f t="shared" si="4"/>
        <v>817.77777777777783</v>
      </c>
      <c r="M55" s="1">
        <v>1</v>
      </c>
      <c r="N55" s="1">
        <v>1</v>
      </c>
      <c r="P55" s="1" t="s">
        <v>193</v>
      </c>
      <c r="Q55" s="1" t="s">
        <v>25</v>
      </c>
      <c r="R55" s="1" t="s">
        <v>106</v>
      </c>
      <c r="U55" s="94">
        <f t="shared" si="5"/>
        <v>0</v>
      </c>
      <c r="V55" s="36" t="s">
        <v>101</v>
      </c>
      <c r="W55" s="1" t="s">
        <v>102</v>
      </c>
      <c r="X55" s="4">
        <v>44513</v>
      </c>
      <c r="Y55" s="104" t="s">
        <v>89</v>
      </c>
      <c r="Z55" s="104"/>
      <c r="AA55" s="104"/>
      <c r="AB55" s="104"/>
      <c r="AC55" s="5">
        <v>44520</v>
      </c>
      <c r="AE55" s="1" t="s">
        <v>86</v>
      </c>
      <c r="AF55" s="45">
        <v>44513</v>
      </c>
      <c r="AG55" s="45">
        <v>44896</v>
      </c>
      <c r="AH55" s="8" t="s">
        <v>90</v>
      </c>
      <c r="AI55" s="45" t="s">
        <v>4</v>
      </c>
      <c r="AJ55" s="8" t="s">
        <v>91</v>
      </c>
    </row>
    <row r="56" spans="1:36" ht="30" x14ac:dyDescent="0.25">
      <c r="A56" s="8">
        <v>57</v>
      </c>
      <c r="B56" s="93">
        <v>1.3</v>
      </c>
      <c r="C56" s="12" t="s">
        <v>104</v>
      </c>
      <c r="D56" s="8" t="s">
        <v>270</v>
      </c>
      <c r="E56" s="1">
        <v>12</v>
      </c>
      <c r="F56" s="2">
        <v>250</v>
      </c>
      <c r="G56" s="3">
        <f t="shared" si="3"/>
        <v>3000</v>
      </c>
      <c r="H56" s="3">
        <v>40</v>
      </c>
      <c r="I56" s="3">
        <v>48</v>
      </c>
      <c r="J56" s="3">
        <v>66</v>
      </c>
      <c r="K56" s="3">
        <f t="shared" si="4"/>
        <v>880</v>
      </c>
      <c r="M56" s="1">
        <v>1</v>
      </c>
      <c r="N56" s="1">
        <v>1</v>
      </c>
      <c r="P56" s="1" t="s">
        <v>193</v>
      </c>
      <c r="Q56" s="1" t="s">
        <v>25</v>
      </c>
      <c r="R56" s="1" t="s">
        <v>109</v>
      </c>
      <c r="U56" s="94">
        <f t="shared" si="5"/>
        <v>0</v>
      </c>
      <c r="V56" s="36" t="s">
        <v>101</v>
      </c>
      <c r="W56" s="1" t="s">
        <v>102</v>
      </c>
      <c r="X56" s="4">
        <v>44513</v>
      </c>
      <c r="Y56" s="104" t="s">
        <v>89</v>
      </c>
      <c r="Z56" s="104"/>
      <c r="AA56" s="104"/>
      <c r="AB56" s="104"/>
      <c r="AC56" s="5">
        <v>44520</v>
      </c>
      <c r="AE56" s="1" t="s">
        <v>86</v>
      </c>
      <c r="AF56" s="45">
        <v>44513</v>
      </c>
      <c r="AG56" s="45">
        <v>44896</v>
      </c>
      <c r="AH56" s="8" t="s">
        <v>90</v>
      </c>
      <c r="AI56" s="45" t="s">
        <v>4</v>
      </c>
      <c r="AJ56" s="8" t="s">
        <v>91</v>
      </c>
    </row>
    <row r="57" spans="1:36" ht="30" x14ac:dyDescent="0.25">
      <c r="A57" s="8">
        <v>58</v>
      </c>
      <c r="B57" s="93">
        <v>1.3</v>
      </c>
      <c r="C57" s="12" t="s">
        <v>104</v>
      </c>
      <c r="D57" s="8" t="s">
        <v>271</v>
      </c>
      <c r="E57" s="1">
        <v>1</v>
      </c>
      <c r="F57" s="2">
        <v>400</v>
      </c>
      <c r="G57" s="3">
        <f t="shared" si="3"/>
        <v>400</v>
      </c>
      <c r="H57" s="3">
        <v>42</v>
      </c>
      <c r="I57" s="3">
        <v>42</v>
      </c>
      <c r="J57" s="3">
        <v>45</v>
      </c>
      <c r="K57" s="3">
        <f t="shared" si="4"/>
        <v>45.9375</v>
      </c>
      <c r="M57" s="1">
        <v>1</v>
      </c>
      <c r="N57" s="1">
        <v>1</v>
      </c>
      <c r="P57" s="1" t="s">
        <v>193</v>
      </c>
      <c r="Q57" s="1" t="s">
        <v>25</v>
      </c>
      <c r="R57" s="1" t="s">
        <v>111</v>
      </c>
      <c r="U57" s="94">
        <f t="shared" si="5"/>
        <v>0</v>
      </c>
      <c r="V57" s="36" t="s">
        <v>101</v>
      </c>
      <c r="W57" s="1" t="s">
        <v>102</v>
      </c>
      <c r="X57" s="4">
        <v>44513</v>
      </c>
      <c r="Y57" s="104" t="s">
        <v>89</v>
      </c>
      <c r="Z57" s="104"/>
      <c r="AA57" s="104"/>
      <c r="AB57" s="104"/>
      <c r="AC57" s="5">
        <v>44520</v>
      </c>
      <c r="AE57" s="1" t="s">
        <v>86</v>
      </c>
      <c r="AF57" s="45">
        <v>44513</v>
      </c>
      <c r="AG57" s="45">
        <v>44896</v>
      </c>
      <c r="AH57" s="8" t="s">
        <v>90</v>
      </c>
      <c r="AI57" s="45" t="s">
        <v>4</v>
      </c>
      <c r="AJ57" s="8" t="s">
        <v>91</v>
      </c>
    </row>
    <row r="58" spans="1:36" x14ac:dyDescent="0.25">
      <c r="A58" s="8">
        <v>59</v>
      </c>
      <c r="B58" s="93">
        <v>1.3</v>
      </c>
      <c r="C58" s="12" t="s">
        <v>115</v>
      </c>
      <c r="D58" s="8" t="s">
        <v>272</v>
      </c>
      <c r="E58" s="1">
        <v>3</v>
      </c>
      <c r="F58" s="2">
        <v>250</v>
      </c>
      <c r="G58" s="3">
        <f>E58*F58</f>
        <v>750</v>
      </c>
      <c r="H58" s="3">
        <v>42</v>
      </c>
      <c r="I58" s="3">
        <v>48</v>
      </c>
      <c r="J58" s="3">
        <v>66</v>
      </c>
      <c r="K58" s="3">
        <f>((H58*I58*J58)/1728)*E58</f>
        <v>231</v>
      </c>
      <c r="M58" s="1">
        <v>1</v>
      </c>
      <c r="N58" s="1">
        <v>1</v>
      </c>
      <c r="P58" s="1" t="s">
        <v>193</v>
      </c>
      <c r="Q58" s="1" t="s">
        <v>25</v>
      </c>
      <c r="R58" s="1" t="s">
        <v>117</v>
      </c>
      <c r="U58" s="94">
        <f>T58-S58</f>
        <v>0</v>
      </c>
      <c r="V58" s="36" t="s">
        <v>101</v>
      </c>
      <c r="W58" s="1" t="s">
        <v>102</v>
      </c>
      <c r="X58" s="4">
        <v>44513</v>
      </c>
      <c r="Y58" s="104" t="s">
        <v>89</v>
      </c>
      <c r="Z58" s="104"/>
      <c r="AA58" s="104"/>
      <c r="AB58" s="104"/>
      <c r="AC58" s="5">
        <v>44520</v>
      </c>
      <c r="AE58" s="1" t="s">
        <v>86</v>
      </c>
      <c r="AF58" s="45">
        <v>44513</v>
      </c>
      <c r="AG58" s="45">
        <v>44896</v>
      </c>
      <c r="AH58" s="8" t="s">
        <v>90</v>
      </c>
      <c r="AI58" s="45" t="s">
        <v>4</v>
      </c>
      <c r="AJ58" s="8" t="s">
        <v>91</v>
      </c>
    </row>
    <row r="59" spans="1:36" ht="30" x14ac:dyDescent="0.25">
      <c r="A59" s="8">
        <v>60</v>
      </c>
      <c r="B59" s="93">
        <v>1.5</v>
      </c>
      <c r="C59" s="12" t="s">
        <v>104</v>
      </c>
      <c r="D59" s="8" t="s">
        <v>273</v>
      </c>
      <c r="E59" s="1">
        <v>7</v>
      </c>
      <c r="F59" s="2">
        <v>200</v>
      </c>
      <c r="G59" s="3">
        <f t="shared" si="3"/>
        <v>1400</v>
      </c>
      <c r="H59" s="3">
        <v>42</v>
      </c>
      <c r="I59" s="3">
        <v>42</v>
      </c>
      <c r="J59" s="3">
        <v>30</v>
      </c>
      <c r="K59" s="3">
        <f t="shared" si="4"/>
        <v>214.375</v>
      </c>
      <c r="M59" s="1">
        <v>1</v>
      </c>
      <c r="Q59" s="1" t="s">
        <v>25</v>
      </c>
      <c r="R59" s="1" t="s">
        <v>113</v>
      </c>
      <c r="U59" s="94">
        <f t="shared" si="5"/>
        <v>0</v>
      </c>
      <c r="V59" s="36" t="s">
        <v>101</v>
      </c>
      <c r="W59" s="1" t="s">
        <v>102</v>
      </c>
      <c r="X59" s="4">
        <v>44513</v>
      </c>
      <c r="Y59" s="104" t="s">
        <v>89</v>
      </c>
      <c r="Z59" s="104"/>
      <c r="AA59" s="104"/>
      <c r="AB59" s="104"/>
      <c r="AC59" s="5">
        <v>44597</v>
      </c>
      <c r="AE59" s="1" t="s">
        <v>86</v>
      </c>
      <c r="AF59" s="45">
        <v>44513</v>
      </c>
      <c r="AG59" s="45">
        <v>44896</v>
      </c>
      <c r="AH59" s="8" t="s">
        <v>90</v>
      </c>
      <c r="AI59" s="45" t="s">
        <v>99</v>
      </c>
    </row>
    <row r="60" spans="1:36" ht="30" x14ac:dyDescent="0.25">
      <c r="A60" s="8">
        <v>61</v>
      </c>
      <c r="B60" s="93">
        <v>1.5</v>
      </c>
      <c r="C60" s="12" t="s">
        <v>104</v>
      </c>
      <c r="D60" s="8" t="s">
        <v>274</v>
      </c>
      <c r="E60" s="1">
        <v>3</v>
      </c>
      <c r="F60" s="2">
        <v>200</v>
      </c>
      <c r="G60" s="3">
        <f t="shared" si="3"/>
        <v>600</v>
      </c>
      <c r="H60" s="3">
        <v>42</v>
      </c>
      <c r="I60" s="3">
        <v>42</v>
      </c>
      <c r="J60" s="3">
        <v>30</v>
      </c>
      <c r="K60" s="3">
        <f t="shared" si="4"/>
        <v>91.875</v>
      </c>
      <c r="M60" s="1">
        <v>1</v>
      </c>
      <c r="Q60" s="1" t="s">
        <v>25</v>
      </c>
      <c r="R60" s="1" t="s">
        <v>111</v>
      </c>
      <c r="S60" s="4">
        <v>44439</v>
      </c>
      <c r="T60" s="4">
        <v>44455</v>
      </c>
      <c r="U60" s="94">
        <f t="shared" si="5"/>
        <v>16</v>
      </c>
      <c r="V60" s="36" t="s">
        <v>101</v>
      </c>
      <c r="W60" s="1" t="s">
        <v>102</v>
      </c>
      <c r="X60" s="4">
        <v>44513</v>
      </c>
      <c r="Y60" s="104" t="s">
        <v>89</v>
      </c>
      <c r="Z60" s="104"/>
      <c r="AA60" s="104"/>
      <c r="AB60" s="104"/>
      <c r="AC60" s="5">
        <v>44597</v>
      </c>
      <c r="AE60" s="1" t="s">
        <v>86</v>
      </c>
      <c r="AF60" s="45">
        <v>44513</v>
      </c>
      <c r="AG60" s="45">
        <v>44896</v>
      </c>
      <c r="AH60" s="8" t="s">
        <v>90</v>
      </c>
      <c r="AI60" s="45" t="s">
        <v>99</v>
      </c>
    </row>
    <row r="61" spans="1:36" ht="30" x14ac:dyDescent="0.25">
      <c r="A61" s="8">
        <v>62</v>
      </c>
      <c r="B61" s="93">
        <v>1.3</v>
      </c>
      <c r="C61" s="12" t="s">
        <v>104</v>
      </c>
      <c r="D61" s="8" t="s">
        <v>275</v>
      </c>
      <c r="E61" s="1">
        <v>37</v>
      </c>
      <c r="F61" s="2">
        <v>500</v>
      </c>
      <c r="G61" s="3">
        <f t="shared" si="3"/>
        <v>18500</v>
      </c>
      <c r="H61" s="3">
        <v>48</v>
      </c>
      <c r="I61" s="3">
        <v>48</v>
      </c>
      <c r="J61" s="3">
        <v>36</v>
      </c>
      <c r="K61" s="3">
        <f t="shared" si="4"/>
        <v>1776</v>
      </c>
      <c r="M61" s="1">
        <v>1</v>
      </c>
      <c r="Q61" s="1" t="s">
        <v>25</v>
      </c>
      <c r="R61" s="1" t="s">
        <v>106</v>
      </c>
      <c r="U61" s="94">
        <f t="shared" si="5"/>
        <v>0</v>
      </c>
      <c r="V61" s="36" t="s">
        <v>276</v>
      </c>
      <c r="W61" s="1" t="s">
        <v>246</v>
      </c>
      <c r="X61" s="4">
        <v>44875</v>
      </c>
      <c r="Y61" s="95" t="s">
        <v>247</v>
      </c>
      <c r="Z61" s="95"/>
      <c r="AA61" s="95"/>
      <c r="AB61" s="95"/>
      <c r="AC61" s="5">
        <v>44884</v>
      </c>
      <c r="AE61" s="1" t="s">
        <v>25</v>
      </c>
      <c r="AI61" s="45" t="s">
        <v>99</v>
      </c>
    </row>
    <row r="62" spans="1:36" ht="30" x14ac:dyDescent="0.25">
      <c r="A62" s="8">
        <v>63</v>
      </c>
      <c r="B62" s="93">
        <v>1.3</v>
      </c>
      <c r="C62" s="12" t="s">
        <v>104</v>
      </c>
      <c r="D62" s="8" t="s">
        <v>277</v>
      </c>
      <c r="E62" s="1">
        <v>26</v>
      </c>
      <c r="F62" s="2">
        <v>500</v>
      </c>
      <c r="G62" s="3">
        <f t="shared" si="3"/>
        <v>13000</v>
      </c>
      <c r="H62" s="3">
        <v>48</v>
      </c>
      <c r="I62" s="3">
        <v>48</v>
      </c>
      <c r="J62" s="3">
        <v>36</v>
      </c>
      <c r="K62" s="3">
        <f t="shared" si="4"/>
        <v>1248</v>
      </c>
      <c r="M62" s="1">
        <v>1</v>
      </c>
      <c r="Q62" s="1" t="s">
        <v>25</v>
      </c>
      <c r="R62" s="1" t="s">
        <v>109</v>
      </c>
      <c r="U62" s="94">
        <f t="shared" si="5"/>
        <v>0</v>
      </c>
      <c r="V62" s="36" t="s">
        <v>276</v>
      </c>
      <c r="W62" s="1" t="s">
        <v>246</v>
      </c>
      <c r="X62" s="4">
        <v>44875</v>
      </c>
      <c r="Y62" s="95" t="s">
        <v>247</v>
      </c>
      <c r="Z62" s="95"/>
      <c r="AA62" s="95"/>
      <c r="AB62" s="95"/>
      <c r="AC62" s="5">
        <v>44884</v>
      </c>
      <c r="AE62" s="1" t="s">
        <v>25</v>
      </c>
      <c r="AI62" s="45" t="s">
        <v>99</v>
      </c>
    </row>
    <row r="63" spans="1:36" ht="30" x14ac:dyDescent="0.25">
      <c r="A63" s="8">
        <v>64</v>
      </c>
      <c r="B63" s="93">
        <v>1.3</v>
      </c>
      <c r="C63" s="12" t="s">
        <v>104</v>
      </c>
      <c r="D63" s="8" t="s">
        <v>278</v>
      </c>
      <c r="E63" s="1">
        <v>3</v>
      </c>
      <c r="F63" s="2">
        <v>400</v>
      </c>
      <c r="G63" s="3">
        <f>E63*F63</f>
        <v>1200</v>
      </c>
      <c r="H63" s="3">
        <v>42</v>
      </c>
      <c r="I63" s="3">
        <v>42</v>
      </c>
      <c r="J63" s="3">
        <v>45</v>
      </c>
      <c r="K63" s="3">
        <f>((H63*I63*J63)/1728)*E63</f>
        <v>137.8125</v>
      </c>
      <c r="M63" s="1">
        <v>1</v>
      </c>
      <c r="Q63" s="1" t="s">
        <v>25</v>
      </c>
      <c r="R63" s="1" t="s">
        <v>111</v>
      </c>
      <c r="U63" s="94"/>
      <c r="V63" s="36" t="s">
        <v>276</v>
      </c>
      <c r="W63" s="1" t="s">
        <v>246</v>
      </c>
      <c r="X63" s="4">
        <v>44875</v>
      </c>
      <c r="Y63" s="95" t="s">
        <v>247</v>
      </c>
      <c r="Z63" s="95"/>
      <c r="AA63" s="95"/>
      <c r="AB63" s="95"/>
      <c r="AC63" s="5">
        <v>44884</v>
      </c>
      <c r="AE63" s="1" t="s">
        <v>25</v>
      </c>
      <c r="AI63" s="45" t="s">
        <v>99</v>
      </c>
    </row>
    <row r="64" spans="1:36" x14ac:dyDescent="0.25">
      <c r="A64" s="8">
        <v>65</v>
      </c>
      <c r="B64" s="93">
        <v>1.3</v>
      </c>
      <c r="C64" s="12" t="s">
        <v>115</v>
      </c>
      <c r="D64" s="8" t="s">
        <v>279</v>
      </c>
      <c r="E64" s="1">
        <v>8</v>
      </c>
      <c r="F64" s="2">
        <v>300</v>
      </c>
      <c r="G64" s="3">
        <f t="shared" si="3"/>
        <v>2400</v>
      </c>
      <c r="H64" s="3">
        <v>42</v>
      </c>
      <c r="I64" s="3">
        <v>42</v>
      </c>
      <c r="J64" s="3">
        <v>36</v>
      </c>
      <c r="K64" s="3">
        <f t="shared" si="4"/>
        <v>294</v>
      </c>
      <c r="M64" s="1">
        <v>1</v>
      </c>
      <c r="Q64" s="1" t="s">
        <v>25</v>
      </c>
      <c r="R64" s="1" t="s">
        <v>117</v>
      </c>
      <c r="U64" s="94">
        <f t="shared" si="5"/>
        <v>0</v>
      </c>
      <c r="V64" s="36" t="s">
        <v>276</v>
      </c>
      <c r="W64" s="1" t="s">
        <v>246</v>
      </c>
      <c r="X64" s="4">
        <v>44875</v>
      </c>
      <c r="Y64" s="95" t="s">
        <v>247</v>
      </c>
      <c r="Z64" s="95"/>
      <c r="AA64" s="95"/>
      <c r="AB64" s="95"/>
      <c r="AC64" s="5">
        <v>44884</v>
      </c>
      <c r="AE64" s="1" t="s">
        <v>25</v>
      </c>
      <c r="AI64" s="45" t="s">
        <v>99</v>
      </c>
    </row>
    <row r="65" spans="1:36" x14ac:dyDescent="0.25">
      <c r="A65" s="8">
        <v>66</v>
      </c>
      <c r="B65" s="93">
        <v>1.4</v>
      </c>
      <c r="C65" s="12" t="s">
        <v>115</v>
      </c>
      <c r="D65" s="14" t="s">
        <v>280</v>
      </c>
      <c r="E65" s="1">
        <v>1</v>
      </c>
      <c r="F65" s="9">
        <v>2000</v>
      </c>
      <c r="G65" s="3">
        <f t="shared" si="3"/>
        <v>2000</v>
      </c>
      <c r="H65" s="3">
        <v>96</v>
      </c>
      <c r="I65" s="3">
        <v>48</v>
      </c>
      <c r="J65" s="3">
        <v>48</v>
      </c>
      <c r="K65" s="3">
        <f t="shared" si="4"/>
        <v>128</v>
      </c>
      <c r="L65" s="1" t="s">
        <v>281</v>
      </c>
      <c r="M65" s="1">
        <v>1</v>
      </c>
      <c r="N65" s="1">
        <v>1</v>
      </c>
      <c r="P65" s="1" t="s">
        <v>193</v>
      </c>
      <c r="Q65" s="1" t="s">
        <v>25</v>
      </c>
      <c r="R65" s="1" t="s">
        <v>282</v>
      </c>
      <c r="S65" s="4">
        <v>44805</v>
      </c>
      <c r="T65" s="4">
        <v>44829</v>
      </c>
      <c r="U65" s="94">
        <f t="shared" si="5"/>
        <v>24</v>
      </c>
      <c r="V65" s="36" t="s">
        <v>276</v>
      </c>
      <c r="W65" s="1" t="s">
        <v>246</v>
      </c>
      <c r="X65" s="4">
        <v>44875</v>
      </c>
      <c r="Y65" s="95" t="s">
        <v>247</v>
      </c>
      <c r="Z65" s="95"/>
      <c r="AA65" s="95"/>
      <c r="AB65" s="95"/>
      <c r="AC65" s="5">
        <v>44884</v>
      </c>
      <c r="AE65" s="1" t="s">
        <v>25</v>
      </c>
      <c r="AJ65" s="8" t="s">
        <v>283</v>
      </c>
    </row>
    <row r="66" spans="1:36" x14ac:dyDescent="0.25">
      <c r="A66" s="8">
        <v>67</v>
      </c>
      <c r="B66" s="93">
        <v>1.6</v>
      </c>
      <c r="C66" s="12" t="s">
        <v>115</v>
      </c>
      <c r="D66" s="14" t="s">
        <v>284</v>
      </c>
      <c r="E66" s="1">
        <v>2</v>
      </c>
      <c r="F66" s="9">
        <v>1500</v>
      </c>
      <c r="G66" s="3">
        <f t="shared" si="3"/>
        <v>3000</v>
      </c>
      <c r="H66" s="3">
        <v>48</v>
      </c>
      <c r="I66" s="3">
        <v>48</v>
      </c>
      <c r="J66" s="3">
        <v>48</v>
      </c>
      <c r="K66" s="3">
        <f t="shared" si="4"/>
        <v>128</v>
      </c>
      <c r="L66" s="1" t="s">
        <v>285</v>
      </c>
      <c r="M66" s="1">
        <v>1</v>
      </c>
      <c r="N66" s="1">
        <v>1</v>
      </c>
      <c r="P66" s="1" t="s">
        <v>193</v>
      </c>
      <c r="Q66" s="1" t="s">
        <v>25</v>
      </c>
      <c r="R66" s="1" t="s">
        <v>111</v>
      </c>
      <c r="U66" s="94">
        <f t="shared" si="5"/>
        <v>0</v>
      </c>
      <c r="V66" s="36" t="s">
        <v>276</v>
      </c>
      <c r="W66" s="1" t="s">
        <v>246</v>
      </c>
      <c r="X66" s="4">
        <v>44875</v>
      </c>
      <c r="Y66" s="95" t="s">
        <v>247</v>
      </c>
      <c r="Z66" s="95"/>
      <c r="AA66" s="95"/>
      <c r="AB66" s="95"/>
      <c r="AC66" s="5">
        <v>44884</v>
      </c>
      <c r="AE66" s="1" t="s">
        <v>25</v>
      </c>
    </row>
    <row r="67" spans="1:36" x14ac:dyDescent="0.25">
      <c r="A67" s="8">
        <v>68</v>
      </c>
      <c r="B67" s="93">
        <v>1.6</v>
      </c>
      <c r="C67" s="12" t="s">
        <v>115</v>
      </c>
      <c r="D67" s="14" t="s">
        <v>286</v>
      </c>
      <c r="E67" s="1">
        <v>2</v>
      </c>
      <c r="F67" s="9">
        <v>1100</v>
      </c>
      <c r="G67" s="3">
        <f t="shared" ref="G67:G68" si="6">E67*F67</f>
        <v>2200</v>
      </c>
      <c r="H67" s="3">
        <v>96</v>
      </c>
      <c r="I67" s="3">
        <v>48</v>
      </c>
      <c r="J67" s="3">
        <v>48</v>
      </c>
      <c r="K67" s="3">
        <f t="shared" ref="K67:K68" si="7">((H67*I67*J67)/1728)*E67</f>
        <v>256</v>
      </c>
      <c r="L67" s="1" t="s">
        <v>287</v>
      </c>
      <c r="M67" s="1">
        <v>1</v>
      </c>
      <c r="N67" s="1">
        <v>1</v>
      </c>
      <c r="P67" s="1" t="s">
        <v>193</v>
      </c>
      <c r="Q67" s="1" t="s">
        <v>25</v>
      </c>
      <c r="R67" s="1" t="s">
        <v>111</v>
      </c>
      <c r="U67" s="94">
        <f t="shared" si="5"/>
        <v>0</v>
      </c>
      <c r="V67" s="36" t="s">
        <v>276</v>
      </c>
      <c r="W67" s="1" t="s">
        <v>246</v>
      </c>
      <c r="X67" s="4">
        <v>44875</v>
      </c>
      <c r="Y67" s="95" t="s">
        <v>247</v>
      </c>
      <c r="Z67" s="95"/>
      <c r="AA67" s="95"/>
      <c r="AB67" s="95"/>
      <c r="AC67" s="5">
        <v>44884</v>
      </c>
      <c r="AE67" s="1" t="s">
        <v>25</v>
      </c>
    </row>
    <row r="68" spans="1:36" x14ac:dyDescent="0.25">
      <c r="A68" s="313">
        <v>69</v>
      </c>
      <c r="B68" s="93">
        <v>1.2</v>
      </c>
      <c r="C68" s="12" t="s">
        <v>194</v>
      </c>
      <c r="D68" s="8" t="s">
        <v>288</v>
      </c>
      <c r="E68" s="1">
        <v>1</v>
      </c>
      <c r="F68" s="2">
        <v>4000</v>
      </c>
      <c r="G68" s="3">
        <f t="shared" si="6"/>
        <v>4000</v>
      </c>
      <c r="H68" s="3">
        <v>240</v>
      </c>
      <c r="I68" s="3">
        <v>96</v>
      </c>
      <c r="J68" s="3">
        <v>96</v>
      </c>
      <c r="K68" s="3">
        <f t="shared" si="7"/>
        <v>1280</v>
      </c>
      <c r="P68" s="1" t="s">
        <v>99</v>
      </c>
      <c r="Q68" s="1" t="s">
        <v>86</v>
      </c>
      <c r="R68" s="1" t="s">
        <v>196</v>
      </c>
      <c r="S68" s="243">
        <v>44166</v>
      </c>
      <c r="T68" s="105" t="s">
        <v>197</v>
      </c>
      <c r="U68" s="106" t="s">
        <v>197</v>
      </c>
      <c r="V68" s="106" t="s">
        <v>197</v>
      </c>
      <c r="W68" s="107" t="s">
        <v>197</v>
      </c>
      <c r="X68" s="105" t="s">
        <v>197</v>
      </c>
      <c r="Y68" s="104" t="s">
        <v>214</v>
      </c>
      <c r="Z68" s="104"/>
      <c r="AA68" s="104">
        <v>9</v>
      </c>
      <c r="AB68" s="104" t="s">
        <v>222</v>
      </c>
      <c r="AC68" s="5">
        <v>44561</v>
      </c>
      <c r="AE68" s="1" t="s">
        <v>86</v>
      </c>
      <c r="AF68" s="46">
        <v>43862</v>
      </c>
      <c r="AG68" s="46">
        <v>44561</v>
      </c>
      <c r="AH68" s="8" t="s">
        <v>200</v>
      </c>
      <c r="AI68" s="46" t="s">
        <v>210</v>
      </c>
      <c r="AJ68" s="8" t="s">
        <v>201</v>
      </c>
    </row>
    <row r="69" spans="1:36" x14ac:dyDescent="0.25">
      <c r="A69" s="312">
        <v>70</v>
      </c>
      <c r="B69" s="93">
        <v>1.2</v>
      </c>
      <c r="C69" s="12" t="s">
        <v>216</v>
      </c>
      <c r="D69" s="191" t="s">
        <v>289</v>
      </c>
      <c r="E69" s="1">
        <v>2</v>
      </c>
      <c r="F69" s="2">
        <v>200</v>
      </c>
      <c r="G69" s="3">
        <f t="shared" ref="G69:G84" si="8">E69*F69</f>
        <v>400</v>
      </c>
      <c r="H69" s="3">
        <v>72</v>
      </c>
      <c r="I69" s="3">
        <v>36</v>
      </c>
      <c r="J69" s="3">
        <v>36</v>
      </c>
      <c r="K69" s="3">
        <f t="shared" ref="K69:K84" si="9">((H69*I69*J69)/1728)*E69</f>
        <v>108</v>
      </c>
      <c r="P69" s="1" t="s">
        <v>99</v>
      </c>
      <c r="Q69" s="1" t="s">
        <v>86</v>
      </c>
      <c r="R69" s="1" t="s">
        <v>196</v>
      </c>
      <c r="S69" s="105" t="s">
        <v>197</v>
      </c>
      <c r="T69" s="105" t="s">
        <v>197</v>
      </c>
      <c r="U69" s="109" t="s">
        <v>197</v>
      </c>
      <c r="V69" s="109" t="s">
        <v>197</v>
      </c>
      <c r="W69" s="107" t="s">
        <v>197</v>
      </c>
      <c r="X69" s="105" t="s">
        <v>197</v>
      </c>
      <c r="Y69" s="151" t="s">
        <v>198</v>
      </c>
      <c r="Z69" s="151"/>
      <c r="AA69" s="151">
        <v>5</v>
      </c>
      <c r="AB69" s="151" t="s">
        <v>199</v>
      </c>
      <c r="AC69" s="5">
        <v>44163</v>
      </c>
      <c r="AE69" s="1" t="s">
        <v>86</v>
      </c>
      <c r="AF69" s="46">
        <v>43862</v>
      </c>
      <c r="AG69" s="46">
        <v>44136</v>
      </c>
      <c r="AH69" s="8" t="s">
        <v>200</v>
      </c>
      <c r="AI69" s="46" t="s">
        <v>2</v>
      </c>
      <c r="AJ69" s="8" t="s">
        <v>201</v>
      </c>
    </row>
    <row r="70" spans="1:36" x14ac:dyDescent="0.25">
      <c r="A70" s="314">
        <v>71</v>
      </c>
      <c r="B70" s="93">
        <v>1.2</v>
      </c>
      <c r="C70" s="12" t="s">
        <v>216</v>
      </c>
      <c r="D70" s="191" t="s">
        <v>290</v>
      </c>
      <c r="E70" s="1">
        <v>5</v>
      </c>
      <c r="F70" s="2">
        <v>300</v>
      </c>
      <c r="G70" s="3">
        <f t="shared" si="8"/>
        <v>1500</v>
      </c>
      <c r="H70" s="3">
        <v>108</v>
      </c>
      <c r="I70" s="3">
        <v>36</v>
      </c>
      <c r="J70" s="3">
        <v>48</v>
      </c>
      <c r="K70" s="3">
        <f t="shared" si="9"/>
        <v>540</v>
      </c>
      <c r="P70" s="1" t="s">
        <v>99</v>
      </c>
      <c r="Q70" s="1" t="s">
        <v>86</v>
      </c>
      <c r="R70" s="1" t="s">
        <v>111</v>
      </c>
      <c r="S70" s="243">
        <v>44136</v>
      </c>
      <c r="T70" s="4">
        <v>44146</v>
      </c>
      <c r="U70" s="94">
        <f>T70-S70</f>
        <v>10</v>
      </c>
      <c r="V70" s="36" t="s">
        <v>88</v>
      </c>
      <c r="W70" s="36" t="s">
        <v>88</v>
      </c>
      <c r="X70" s="4">
        <v>44228</v>
      </c>
      <c r="Y70" s="104" t="s">
        <v>214</v>
      </c>
      <c r="Z70" s="104"/>
      <c r="AA70" s="104">
        <v>4</v>
      </c>
      <c r="AB70" s="104" t="s">
        <v>222</v>
      </c>
      <c r="AC70" s="5">
        <v>44561</v>
      </c>
      <c r="AE70" s="1" t="s">
        <v>86</v>
      </c>
      <c r="AF70" s="46">
        <v>44228</v>
      </c>
      <c r="AG70" s="46">
        <v>44561</v>
      </c>
      <c r="AH70" s="8" t="s">
        <v>200</v>
      </c>
      <c r="AI70" s="46" t="s">
        <v>3</v>
      </c>
      <c r="AJ70" s="8" t="s">
        <v>201</v>
      </c>
    </row>
    <row r="71" spans="1:36" x14ac:dyDescent="0.25">
      <c r="A71" s="312">
        <v>72</v>
      </c>
      <c r="B71" s="93">
        <v>1.2</v>
      </c>
      <c r="C71" s="12" t="s">
        <v>216</v>
      </c>
      <c r="D71" s="8" t="s">
        <v>291</v>
      </c>
      <c r="E71" s="1">
        <v>1</v>
      </c>
      <c r="F71" s="2">
        <v>920</v>
      </c>
      <c r="G71" s="3">
        <f t="shared" si="8"/>
        <v>920</v>
      </c>
      <c r="H71" s="3">
        <v>97</v>
      </c>
      <c r="I71" s="3">
        <v>44</v>
      </c>
      <c r="J71" s="3">
        <v>63</v>
      </c>
      <c r="K71" s="3">
        <f t="shared" si="9"/>
        <v>155.60416666666666</v>
      </c>
      <c r="L71" s="1" t="s">
        <v>224</v>
      </c>
      <c r="P71" s="1" t="s">
        <v>99</v>
      </c>
      <c r="Q71" s="1" t="s">
        <v>25</v>
      </c>
      <c r="R71" s="1" t="s">
        <v>196</v>
      </c>
      <c r="S71" s="243">
        <v>44136</v>
      </c>
      <c r="T71" s="105" t="s">
        <v>197</v>
      </c>
      <c r="U71" s="106" t="s">
        <v>197</v>
      </c>
      <c r="V71" s="106" t="s">
        <v>197</v>
      </c>
      <c r="W71" s="107" t="s">
        <v>197</v>
      </c>
      <c r="X71" s="105" t="s">
        <v>197</v>
      </c>
      <c r="Y71" s="151" t="s">
        <v>198</v>
      </c>
      <c r="Z71" s="151"/>
      <c r="AA71" s="151">
        <v>8</v>
      </c>
      <c r="AB71" s="151" t="s">
        <v>199</v>
      </c>
      <c r="AC71" s="5">
        <v>44191</v>
      </c>
      <c r="AE71" s="1" t="s">
        <v>86</v>
      </c>
      <c r="AF71" s="45">
        <v>43862</v>
      </c>
      <c r="AG71" s="45">
        <v>44196</v>
      </c>
      <c r="AH71" s="8" t="s">
        <v>200</v>
      </c>
      <c r="AI71" s="45" t="s">
        <v>2</v>
      </c>
      <c r="AJ71" s="8" t="s">
        <v>201</v>
      </c>
    </row>
    <row r="72" spans="1:36" x14ac:dyDescent="0.25">
      <c r="A72" s="312">
        <v>73</v>
      </c>
      <c r="B72" s="93">
        <v>1.2</v>
      </c>
      <c r="C72" s="12" t="s">
        <v>115</v>
      </c>
      <c r="D72" s="8" t="s">
        <v>292</v>
      </c>
      <c r="E72" s="1">
        <v>1</v>
      </c>
      <c r="F72" s="2">
        <v>1048</v>
      </c>
      <c r="G72" s="3">
        <f t="shared" si="8"/>
        <v>1048</v>
      </c>
      <c r="H72" s="3">
        <v>125</v>
      </c>
      <c r="I72" s="3">
        <v>33</v>
      </c>
      <c r="J72" s="3">
        <v>37</v>
      </c>
      <c r="K72" s="3">
        <f t="shared" si="9"/>
        <v>88.324652777777771</v>
      </c>
      <c r="L72" s="1" t="s">
        <v>224</v>
      </c>
      <c r="P72" s="1" t="s">
        <v>99</v>
      </c>
      <c r="Q72" s="1" t="s">
        <v>25</v>
      </c>
      <c r="R72" s="1" t="s">
        <v>196</v>
      </c>
      <c r="S72" s="243">
        <v>44136</v>
      </c>
      <c r="T72" s="105" t="s">
        <v>197</v>
      </c>
      <c r="U72" s="106" t="s">
        <v>197</v>
      </c>
      <c r="V72" s="106" t="s">
        <v>197</v>
      </c>
      <c r="W72" s="107" t="s">
        <v>197</v>
      </c>
      <c r="X72" s="105" t="s">
        <v>197</v>
      </c>
      <c r="Y72" s="151" t="s">
        <v>198</v>
      </c>
      <c r="Z72" s="151"/>
      <c r="AA72" s="151">
        <v>9</v>
      </c>
      <c r="AB72" s="151" t="s">
        <v>199</v>
      </c>
      <c r="AC72" s="5">
        <v>44191</v>
      </c>
      <c r="AE72" s="1" t="s">
        <v>86</v>
      </c>
      <c r="AF72" s="45">
        <v>43862</v>
      </c>
      <c r="AG72" s="45">
        <v>44196</v>
      </c>
      <c r="AH72" s="8" t="s">
        <v>200</v>
      </c>
      <c r="AI72" s="45" t="s">
        <v>2</v>
      </c>
      <c r="AJ72" s="8" t="s">
        <v>201</v>
      </c>
    </row>
    <row r="73" spans="1:36" x14ac:dyDescent="0.25">
      <c r="A73" s="8">
        <v>74</v>
      </c>
      <c r="B73" s="93">
        <v>1.2</v>
      </c>
      <c r="C73" s="12" t="s">
        <v>115</v>
      </c>
      <c r="D73" s="8" t="s">
        <v>293</v>
      </c>
      <c r="E73" s="1">
        <v>1</v>
      </c>
      <c r="F73" s="2">
        <v>500</v>
      </c>
      <c r="G73" s="3">
        <f t="shared" si="8"/>
        <v>500</v>
      </c>
      <c r="H73" s="3">
        <v>36</v>
      </c>
      <c r="I73" s="3">
        <v>36</v>
      </c>
      <c r="J73" s="3">
        <v>36</v>
      </c>
      <c r="K73" s="3">
        <f t="shared" si="9"/>
        <v>27</v>
      </c>
      <c r="M73" s="1">
        <v>1</v>
      </c>
      <c r="N73" s="1">
        <v>1</v>
      </c>
      <c r="P73" s="1" t="s">
        <v>193</v>
      </c>
      <c r="Q73" s="1" t="s">
        <v>25</v>
      </c>
      <c r="R73" s="1" t="s">
        <v>111</v>
      </c>
      <c r="S73" s="243">
        <v>44099</v>
      </c>
      <c r="T73" s="4">
        <v>44109</v>
      </c>
      <c r="U73" s="153">
        <f t="shared" ref="U73:U83" si="10">T73-S73</f>
        <v>10</v>
      </c>
      <c r="V73" s="15" t="s">
        <v>95</v>
      </c>
      <c r="W73" s="15" t="s">
        <v>190</v>
      </c>
      <c r="X73" s="154">
        <v>44149</v>
      </c>
      <c r="Y73" s="151" t="s">
        <v>191</v>
      </c>
      <c r="Z73" s="151"/>
      <c r="AA73" s="151"/>
      <c r="AB73" s="151"/>
      <c r="AC73" s="5">
        <v>44191</v>
      </c>
      <c r="AE73" s="1" t="s">
        <v>25</v>
      </c>
      <c r="AF73" s="46"/>
      <c r="AG73" s="46"/>
      <c r="AI73" s="46"/>
    </row>
    <row r="74" spans="1:36" x14ac:dyDescent="0.25">
      <c r="A74" s="314">
        <v>75</v>
      </c>
      <c r="B74" s="93">
        <v>1.2</v>
      </c>
      <c r="C74" s="12" t="s">
        <v>216</v>
      </c>
      <c r="D74" s="8" t="s">
        <v>294</v>
      </c>
      <c r="E74" s="1">
        <v>1</v>
      </c>
      <c r="F74" s="2">
        <v>400</v>
      </c>
      <c r="G74" s="3">
        <f t="shared" si="8"/>
        <v>400</v>
      </c>
      <c r="H74" s="3">
        <v>120</v>
      </c>
      <c r="I74" s="3">
        <v>48</v>
      </c>
      <c r="J74" s="3">
        <v>24</v>
      </c>
      <c r="K74" s="3">
        <f t="shared" si="9"/>
        <v>80</v>
      </c>
      <c r="P74" s="1" t="s">
        <v>99</v>
      </c>
      <c r="Q74" s="1" t="s">
        <v>86</v>
      </c>
      <c r="R74" s="1" t="s">
        <v>111</v>
      </c>
      <c r="S74" s="243">
        <v>44136</v>
      </c>
      <c r="T74" s="4">
        <v>44146</v>
      </c>
      <c r="U74" s="153">
        <f t="shared" si="10"/>
        <v>10</v>
      </c>
      <c r="V74" s="15" t="s">
        <v>88</v>
      </c>
      <c r="W74" s="15" t="s">
        <v>88</v>
      </c>
      <c r="X74" s="154">
        <v>44228</v>
      </c>
      <c r="Y74" s="104" t="s">
        <v>214</v>
      </c>
      <c r="Z74" s="104"/>
      <c r="AA74" s="104">
        <v>10</v>
      </c>
      <c r="AB74" s="104" t="s">
        <v>222</v>
      </c>
      <c r="AC74" s="5">
        <v>44561</v>
      </c>
      <c r="AE74" s="1" t="s">
        <v>86</v>
      </c>
      <c r="AF74" s="46">
        <v>44228</v>
      </c>
      <c r="AG74" s="46">
        <v>44561</v>
      </c>
      <c r="AH74" s="8" t="s">
        <v>200</v>
      </c>
      <c r="AI74" s="46" t="s">
        <v>3</v>
      </c>
      <c r="AJ74" s="8" t="s">
        <v>201</v>
      </c>
    </row>
    <row r="75" spans="1:36" x14ac:dyDescent="0.25">
      <c r="A75" s="8">
        <v>76</v>
      </c>
      <c r="B75" s="93">
        <v>1.2</v>
      </c>
      <c r="C75" s="12" t="s">
        <v>295</v>
      </c>
      <c r="D75" s="8" t="s">
        <v>296</v>
      </c>
      <c r="E75" s="1">
        <v>1</v>
      </c>
      <c r="F75" s="2">
        <v>400</v>
      </c>
      <c r="G75" s="3">
        <f t="shared" si="8"/>
        <v>400</v>
      </c>
      <c r="H75" s="3">
        <v>36</v>
      </c>
      <c r="I75" s="3">
        <v>36</v>
      </c>
      <c r="J75" s="3">
        <v>36</v>
      </c>
      <c r="K75" s="3">
        <f t="shared" si="9"/>
        <v>27</v>
      </c>
      <c r="M75" s="1">
        <v>1</v>
      </c>
      <c r="N75" s="1">
        <v>1</v>
      </c>
      <c r="P75" s="1" t="s">
        <v>193</v>
      </c>
      <c r="Q75" s="1" t="s">
        <v>25</v>
      </c>
      <c r="R75" s="1" t="s">
        <v>111</v>
      </c>
      <c r="S75" s="243">
        <v>44099</v>
      </c>
      <c r="T75" s="4">
        <v>44109</v>
      </c>
      <c r="U75" s="153">
        <f t="shared" si="10"/>
        <v>10</v>
      </c>
      <c r="V75" s="15" t="s">
        <v>95</v>
      </c>
      <c r="W75" s="15" t="s">
        <v>190</v>
      </c>
      <c r="X75" s="154">
        <v>44149</v>
      </c>
      <c r="Y75" s="151" t="s">
        <v>191</v>
      </c>
      <c r="Z75" s="151"/>
      <c r="AA75" s="151"/>
      <c r="AB75" s="151"/>
      <c r="AC75" s="5">
        <v>44196</v>
      </c>
      <c r="AE75" s="1" t="s">
        <v>25</v>
      </c>
      <c r="AF75" s="46"/>
      <c r="AG75" s="46"/>
      <c r="AI75" s="46"/>
    </row>
    <row r="76" spans="1:36" x14ac:dyDescent="0.25">
      <c r="A76" s="8">
        <v>77</v>
      </c>
      <c r="B76" s="93">
        <v>1.2</v>
      </c>
      <c r="C76" s="12" t="s">
        <v>115</v>
      </c>
      <c r="D76" s="8" t="s">
        <v>297</v>
      </c>
      <c r="E76" s="1">
        <v>1</v>
      </c>
      <c r="F76" s="2">
        <v>825</v>
      </c>
      <c r="G76" s="3">
        <f t="shared" si="8"/>
        <v>825</v>
      </c>
      <c r="H76" s="3">
        <v>120</v>
      </c>
      <c r="I76" s="3">
        <v>25</v>
      </c>
      <c r="J76" s="3">
        <v>30</v>
      </c>
      <c r="K76" s="3">
        <f t="shared" si="9"/>
        <v>52.083333333333336</v>
      </c>
      <c r="P76" s="1" t="s">
        <v>99</v>
      </c>
      <c r="Q76" s="1" t="s">
        <v>25</v>
      </c>
      <c r="R76" s="1" t="s">
        <v>111</v>
      </c>
      <c r="S76" s="243">
        <v>44099</v>
      </c>
      <c r="T76" s="4">
        <v>44109</v>
      </c>
      <c r="U76" s="153">
        <f t="shared" si="10"/>
        <v>10</v>
      </c>
      <c r="V76" s="15" t="s">
        <v>95</v>
      </c>
      <c r="W76" s="15" t="s">
        <v>190</v>
      </c>
      <c r="X76" s="154">
        <v>44149</v>
      </c>
      <c r="Y76" s="151" t="s">
        <v>191</v>
      </c>
      <c r="Z76" s="151"/>
      <c r="AA76" s="151"/>
      <c r="AB76" s="151"/>
      <c r="AC76" s="5">
        <v>44196</v>
      </c>
      <c r="AE76" s="1" t="s">
        <v>25</v>
      </c>
      <c r="AF76" s="46"/>
      <c r="AG76" s="46"/>
      <c r="AI76" s="46"/>
    </row>
    <row r="77" spans="1:36" x14ac:dyDescent="0.25">
      <c r="A77" s="8">
        <v>78</v>
      </c>
      <c r="B77" s="93">
        <v>1.2</v>
      </c>
      <c r="C77" s="12" t="s">
        <v>223</v>
      </c>
      <c r="D77" s="8" t="s">
        <v>298</v>
      </c>
      <c r="E77" s="1">
        <v>1</v>
      </c>
      <c r="F77" s="2">
        <v>3000</v>
      </c>
      <c r="G77" s="3">
        <f t="shared" si="8"/>
        <v>3000</v>
      </c>
      <c r="H77" s="3">
        <v>168</v>
      </c>
      <c r="I77" s="3">
        <v>96</v>
      </c>
      <c r="J77" s="3">
        <v>96</v>
      </c>
      <c r="K77" s="3">
        <f t="shared" si="9"/>
        <v>896</v>
      </c>
      <c r="P77" s="1" t="s">
        <v>99</v>
      </c>
      <c r="Q77" s="1" t="s">
        <v>25</v>
      </c>
      <c r="R77" s="1" t="s">
        <v>111</v>
      </c>
      <c r="S77" s="243">
        <v>44099</v>
      </c>
      <c r="T77" s="4">
        <v>44109</v>
      </c>
      <c r="U77" s="153">
        <f t="shared" si="10"/>
        <v>10</v>
      </c>
      <c r="V77" s="15" t="s">
        <v>95</v>
      </c>
      <c r="W77" s="15" t="s">
        <v>190</v>
      </c>
      <c r="X77" s="154">
        <v>44149</v>
      </c>
      <c r="Y77" s="151" t="s">
        <v>191</v>
      </c>
      <c r="Z77" s="151"/>
      <c r="AA77" s="151"/>
      <c r="AB77" s="151"/>
      <c r="AC77" s="5">
        <v>44196</v>
      </c>
      <c r="AE77" s="1" t="s">
        <v>25</v>
      </c>
      <c r="AF77" s="46"/>
      <c r="AG77" s="46"/>
      <c r="AI77" s="46"/>
    </row>
    <row r="78" spans="1:36" x14ac:dyDescent="0.25">
      <c r="A78" s="8">
        <v>79</v>
      </c>
      <c r="B78" s="93">
        <v>1.2</v>
      </c>
      <c r="C78" s="12" t="s">
        <v>115</v>
      </c>
      <c r="D78" s="8" t="s">
        <v>299</v>
      </c>
      <c r="E78" s="1">
        <v>1</v>
      </c>
      <c r="F78" s="2">
        <v>2500</v>
      </c>
      <c r="G78" s="3">
        <f t="shared" si="8"/>
        <v>2500</v>
      </c>
      <c r="H78" s="3">
        <v>96</v>
      </c>
      <c r="I78" s="3">
        <v>48</v>
      </c>
      <c r="J78" s="3">
        <v>48</v>
      </c>
      <c r="K78" s="3">
        <f t="shared" si="9"/>
        <v>128</v>
      </c>
      <c r="P78" s="1" t="s">
        <v>99</v>
      </c>
      <c r="Q78" s="1" t="s">
        <v>86</v>
      </c>
      <c r="R78" s="1" t="s">
        <v>111</v>
      </c>
      <c r="S78" s="243">
        <v>44099</v>
      </c>
      <c r="T78" s="4">
        <v>44109</v>
      </c>
      <c r="U78" s="153">
        <f t="shared" si="10"/>
        <v>10</v>
      </c>
      <c r="V78" s="15" t="s">
        <v>95</v>
      </c>
      <c r="W78" s="15" t="s">
        <v>190</v>
      </c>
      <c r="X78" s="154">
        <v>44149</v>
      </c>
      <c r="Y78" s="151" t="s">
        <v>191</v>
      </c>
      <c r="Z78" s="151"/>
      <c r="AA78" s="151"/>
      <c r="AB78" s="151"/>
      <c r="AC78" s="5">
        <v>44196</v>
      </c>
      <c r="AE78" s="1" t="s">
        <v>25</v>
      </c>
      <c r="AF78" s="46"/>
      <c r="AG78" s="46"/>
      <c r="AI78" s="46"/>
    </row>
    <row r="79" spans="1:36" x14ac:dyDescent="0.25">
      <c r="A79" s="8">
        <v>80</v>
      </c>
      <c r="B79" s="93">
        <v>1.2</v>
      </c>
      <c r="C79" s="12" t="s">
        <v>300</v>
      </c>
      <c r="D79" s="8" t="s">
        <v>301</v>
      </c>
      <c r="E79" s="1">
        <v>1</v>
      </c>
      <c r="F79" s="2">
        <v>1500</v>
      </c>
      <c r="G79" s="3">
        <f t="shared" si="8"/>
        <v>1500</v>
      </c>
      <c r="H79" s="3">
        <v>96</v>
      </c>
      <c r="I79" s="3">
        <v>48</v>
      </c>
      <c r="J79" s="3">
        <v>48</v>
      </c>
      <c r="K79" s="3">
        <f t="shared" si="9"/>
        <v>128</v>
      </c>
      <c r="P79" s="1" t="s">
        <v>99</v>
      </c>
      <c r="Q79" s="1" t="s">
        <v>86</v>
      </c>
      <c r="R79" s="1" t="s">
        <v>111</v>
      </c>
      <c r="S79" s="243">
        <v>44099</v>
      </c>
      <c r="T79" s="4">
        <v>44109</v>
      </c>
      <c r="U79" s="153">
        <f t="shared" si="10"/>
        <v>10</v>
      </c>
      <c r="V79" s="15" t="s">
        <v>95</v>
      </c>
      <c r="W79" s="15" t="s">
        <v>190</v>
      </c>
      <c r="X79" s="154">
        <v>44149</v>
      </c>
      <c r="Y79" s="151" t="s">
        <v>191</v>
      </c>
      <c r="Z79" s="151"/>
      <c r="AA79" s="151"/>
      <c r="AB79" s="151"/>
      <c r="AC79" s="5">
        <v>44156</v>
      </c>
      <c r="AE79" s="1" t="s">
        <v>25</v>
      </c>
      <c r="AF79" s="46"/>
      <c r="AG79" s="46"/>
      <c r="AI79" s="46"/>
    </row>
    <row r="80" spans="1:36" x14ac:dyDescent="0.25">
      <c r="A80" s="312">
        <v>81</v>
      </c>
      <c r="B80" s="93">
        <v>1.2</v>
      </c>
      <c r="C80" s="12" t="s">
        <v>300</v>
      </c>
      <c r="D80" s="191" t="s">
        <v>302</v>
      </c>
      <c r="E80" s="1">
        <v>1</v>
      </c>
      <c r="F80" s="2">
        <v>1000</v>
      </c>
      <c r="G80" s="3">
        <f t="shared" si="8"/>
        <v>1000</v>
      </c>
      <c r="H80" s="3">
        <v>240</v>
      </c>
      <c r="I80" s="3">
        <v>96</v>
      </c>
      <c r="J80" s="3">
        <v>48</v>
      </c>
      <c r="K80" s="3">
        <f t="shared" si="9"/>
        <v>640</v>
      </c>
      <c r="P80" s="1" t="s">
        <v>99</v>
      </c>
      <c r="Q80" s="1" t="s">
        <v>86</v>
      </c>
      <c r="R80" s="1" t="s">
        <v>111</v>
      </c>
      <c r="S80" s="243">
        <v>44073</v>
      </c>
      <c r="T80" s="4">
        <v>44088</v>
      </c>
      <c r="U80" s="153">
        <f t="shared" si="10"/>
        <v>15</v>
      </c>
      <c r="V80" s="15" t="s">
        <v>95</v>
      </c>
      <c r="W80" s="15" t="s">
        <v>190</v>
      </c>
      <c r="X80" s="154">
        <v>44136</v>
      </c>
      <c r="Y80" s="151" t="s">
        <v>198</v>
      </c>
      <c r="Z80" s="151"/>
      <c r="AA80" s="151">
        <v>6</v>
      </c>
      <c r="AB80" s="151" t="s">
        <v>199</v>
      </c>
      <c r="AC80" s="5">
        <v>44163</v>
      </c>
      <c r="AE80" s="1" t="s">
        <v>25</v>
      </c>
      <c r="AF80" s="46"/>
      <c r="AG80" s="46"/>
      <c r="AI80" s="46"/>
    </row>
    <row r="81" spans="1:36" x14ac:dyDescent="0.25">
      <c r="A81" s="8">
        <v>82</v>
      </c>
      <c r="B81" s="93">
        <v>1.2</v>
      </c>
      <c r="C81" s="12" t="s">
        <v>216</v>
      </c>
      <c r="D81" s="191" t="s">
        <v>303</v>
      </c>
      <c r="E81" s="1">
        <v>1</v>
      </c>
      <c r="F81" s="2">
        <v>400</v>
      </c>
      <c r="G81" s="3">
        <f t="shared" si="8"/>
        <v>400</v>
      </c>
      <c r="H81" s="3">
        <v>72</v>
      </c>
      <c r="I81" s="3">
        <v>77</v>
      </c>
      <c r="J81" s="3">
        <v>36</v>
      </c>
      <c r="K81" s="3">
        <f t="shared" si="9"/>
        <v>115.5</v>
      </c>
      <c r="L81" s="1" t="s">
        <v>224</v>
      </c>
      <c r="P81" s="1" t="s">
        <v>99</v>
      </c>
      <c r="Q81" s="1" t="s">
        <v>86</v>
      </c>
      <c r="R81" s="1" t="s">
        <v>111</v>
      </c>
      <c r="S81" s="243">
        <v>44099</v>
      </c>
      <c r="T81" s="4">
        <v>44109</v>
      </c>
      <c r="U81" s="153">
        <f t="shared" si="10"/>
        <v>10</v>
      </c>
      <c r="V81" s="15" t="s">
        <v>95</v>
      </c>
      <c r="W81" s="15" t="s">
        <v>190</v>
      </c>
      <c r="X81" s="154">
        <v>44149</v>
      </c>
      <c r="Y81" s="151" t="s">
        <v>191</v>
      </c>
      <c r="Z81" s="151"/>
      <c r="AA81" s="151"/>
      <c r="AB81" s="151"/>
      <c r="AC81" s="5">
        <v>44196</v>
      </c>
      <c r="AE81" s="1" t="s">
        <v>25</v>
      </c>
      <c r="AF81" s="46"/>
      <c r="AG81" s="46"/>
      <c r="AI81" s="46"/>
    </row>
    <row r="82" spans="1:36" x14ac:dyDescent="0.25">
      <c r="A82" s="314">
        <v>83</v>
      </c>
      <c r="B82" s="93">
        <v>1.2</v>
      </c>
      <c r="C82" s="12" t="s">
        <v>194</v>
      </c>
      <c r="D82" s="191" t="s">
        <v>304</v>
      </c>
      <c r="E82" s="1">
        <v>1</v>
      </c>
      <c r="F82" s="2">
        <v>12000</v>
      </c>
      <c r="G82" s="3">
        <f t="shared" si="8"/>
        <v>12000</v>
      </c>
      <c r="H82" s="3">
        <v>240</v>
      </c>
      <c r="I82" s="3">
        <v>96</v>
      </c>
      <c r="J82" s="3">
        <v>96</v>
      </c>
      <c r="K82" s="3">
        <f t="shared" si="9"/>
        <v>1280</v>
      </c>
      <c r="P82" s="1" t="s">
        <v>99</v>
      </c>
      <c r="Q82" s="1" t="s">
        <v>86</v>
      </c>
      <c r="R82" s="1" t="s">
        <v>111</v>
      </c>
      <c r="S82" s="243">
        <v>44136</v>
      </c>
      <c r="T82" s="4">
        <v>44146</v>
      </c>
      <c r="U82" s="94">
        <f t="shared" si="10"/>
        <v>10</v>
      </c>
      <c r="V82" s="36" t="s">
        <v>88</v>
      </c>
      <c r="W82" s="36" t="s">
        <v>88</v>
      </c>
      <c r="X82" s="4">
        <v>44228</v>
      </c>
      <c r="Y82" s="104" t="s">
        <v>214</v>
      </c>
      <c r="Z82" s="104"/>
      <c r="AA82" s="104">
        <v>5</v>
      </c>
      <c r="AB82" s="104" t="s">
        <v>222</v>
      </c>
      <c r="AC82" s="5">
        <v>44561</v>
      </c>
      <c r="AE82" s="1" t="s">
        <v>86</v>
      </c>
      <c r="AF82" s="46">
        <v>44228</v>
      </c>
      <c r="AG82" s="46">
        <v>44561</v>
      </c>
      <c r="AH82" s="8" t="s">
        <v>200</v>
      </c>
      <c r="AI82" s="46" t="s">
        <v>3</v>
      </c>
      <c r="AJ82" s="8" t="s">
        <v>201</v>
      </c>
    </row>
    <row r="83" spans="1:36" x14ac:dyDescent="0.25">
      <c r="A83" s="314">
        <v>84</v>
      </c>
      <c r="B83" s="93">
        <v>1.2</v>
      </c>
      <c r="C83" s="12" t="s">
        <v>300</v>
      </c>
      <c r="D83" s="191" t="s">
        <v>305</v>
      </c>
      <c r="E83" s="1">
        <v>1</v>
      </c>
      <c r="F83" s="2">
        <v>1000</v>
      </c>
      <c r="G83" s="3">
        <f t="shared" si="8"/>
        <v>1000</v>
      </c>
      <c r="H83" s="3">
        <v>240</v>
      </c>
      <c r="I83" s="3">
        <v>96</v>
      </c>
      <c r="J83" s="3">
        <v>24</v>
      </c>
      <c r="K83" s="3">
        <f t="shared" si="9"/>
        <v>320</v>
      </c>
      <c r="P83" s="1" t="s">
        <v>99</v>
      </c>
      <c r="Q83" s="1" t="s">
        <v>86</v>
      </c>
      <c r="R83" s="1" t="s">
        <v>111</v>
      </c>
      <c r="S83" s="243">
        <v>44136</v>
      </c>
      <c r="T83" s="4">
        <v>44146</v>
      </c>
      <c r="U83" s="94">
        <f t="shared" si="10"/>
        <v>10</v>
      </c>
      <c r="V83" s="36" t="s">
        <v>88</v>
      </c>
      <c r="W83" s="36" t="s">
        <v>88</v>
      </c>
      <c r="X83" s="4">
        <v>44228</v>
      </c>
      <c r="Y83" s="104" t="s">
        <v>214</v>
      </c>
      <c r="Z83" s="104"/>
      <c r="AA83" s="104">
        <v>6</v>
      </c>
      <c r="AB83" s="104" t="s">
        <v>222</v>
      </c>
      <c r="AC83" s="5">
        <v>44561</v>
      </c>
      <c r="AE83" s="1" t="s">
        <v>86</v>
      </c>
      <c r="AF83" s="46">
        <v>44228</v>
      </c>
      <c r="AG83" s="46">
        <v>44561</v>
      </c>
      <c r="AH83" s="8" t="s">
        <v>200</v>
      </c>
      <c r="AI83" s="46" t="s">
        <v>3</v>
      </c>
      <c r="AJ83" s="8" t="s">
        <v>201</v>
      </c>
    </row>
    <row r="84" spans="1:36" x14ac:dyDescent="0.25">
      <c r="A84" s="48">
        <v>85</v>
      </c>
      <c r="B84" s="93">
        <v>1.2</v>
      </c>
      <c r="C84" s="12" t="s">
        <v>306</v>
      </c>
      <c r="D84" s="8" t="s">
        <v>189</v>
      </c>
      <c r="E84" s="1">
        <v>2</v>
      </c>
      <c r="F84" s="2">
        <v>4000</v>
      </c>
      <c r="G84" s="3">
        <f t="shared" si="8"/>
        <v>8000</v>
      </c>
      <c r="H84" s="3">
        <v>96</v>
      </c>
      <c r="I84" s="3">
        <v>96</v>
      </c>
      <c r="J84" s="3">
        <v>96</v>
      </c>
      <c r="K84" s="3">
        <f t="shared" si="9"/>
        <v>1024</v>
      </c>
      <c r="P84" s="1" t="s">
        <v>99</v>
      </c>
      <c r="Q84" s="1" t="s">
        <v>86</v>
      </c>
      <c r="R84" s="1" t="s">
        <v>87</v>
      </c>
      <c r="S84" s="243">
        <v>44099</v>
      </c>
      <c r="T84" s="4">
        <v>44109</v>
      </c>
      <c r="U84" s="94">
        <f>T84-S84</f>
        <v>10</v>
      </c>
      <c r="V84" s="36" t="s">
        <v>95</v>
      </c>
      <c r="W84" s="15" t="s">
        <v>190</v>
      </c>
      <c r="X84" s="4">
        <v>44149</v>
      </c>
      <c r="Y84" s="221" t="s">
        <v>191</v>
      </c>
      <c r="Z84" s="221"/>
      <c r="AA84" s="221"/>
      <c r="AB84" s="221"/>
      <c r="AC84" s="5">
        <v>44156</v>
      </c>
      <c r="AE84" s="1" t="s">
        <v>25</v>
      </c>
      <c r="AF84" s="46"/>
      <c r="AG84" s="46"/>
      <c r="AI84" s="46"/>
    </row>
    <row r="85" spans="1:36" s="156" customFormat="1" x14ac:dyDescent="0.25">
      <c r="B85" s="157"/>
      <c r="C85" s="158"/>
      <c r="D85" s="159"/>
      <c r="E85" s="160"/>
      <c r="F85" s="161"/>
      <c r="G85" s="162"/>
      <c r="H85" s="162"/>
      <c r="I85" s="162"/>
      <c r="J85" s="162"/>
      <c r="K85" s="162"/>
      <c r="L85" s="160"/>
      <c r="M85" s="160"/>
      <c r="N85" s="160"/>
      <c r="O85" s="160"/>
      <c r="P85" s="160"/>
      <c r="Q85" s="160"/>
      <c r="R85" s="160"/>
      <c r="S85" s="163"/>
      <c r="T85" s="163"/>
      <c r="U85" s="163"/>
      <c r="V85" s="163"/>
      <c r="W85" s="160"/>
      <c r="X85" s="163"/>
      <c r="Y85" s="160"/>
      <c r="Z85" s="160"/>
      <c r="AA85" s="160"/>
      <c r="AB85" s="160"/>
      <c r="AC85" s="164"/>
      <c r="AE85" s="160"/>
    </row>
    <row r="86" spans="1:36" x14ac:dyDescent="0.25">
      <c r="B86" s="93"/>
      <c r="D86" s="10"/>
    </row>
    <row r="87" spans="1:36" s="47" customFormat="1" ht="18.75" x14ac:dyDescent="0.3">
      <c r="A87" s="8"/>
      <c r="B87" s="112"/>
      <c r="C87" s="113"/>
      <c r="D87" s="47" t="s">
        <v>307</v>
      </c>
      <c r="E87" s="114">
        <f>SUMIF(Y2:Y85,"Air *",E2:E85)</f>
        <v>215</v>
      </c>
      <c r="F87" s="115"/>
      <c r="G87" s="114">
        <f>SUMIF(Y2:Y85,"Air *",G2:G85)</f>
        <v>321175</v>
      </c>
      <c r="H87" s="114"/>
      <c r="I87" s="114"/>
      <c r="J87" s="114"/>
      <c r="K87" s="114">
        <f>SUMIF(Y2:Y85,"Air *",K2:K85)</f>
        <v>24073.491319444442</v>
      </c>
      <c r="L87" s="116"/>
      <c r="M87" s="116"/>
      <c r="N87" s="116"/>
      <c r="O87" s="116"/>
      <c r="P87" s="116"/>
      <c r="Q87" s="116"/>
      <c r="R87" s="116"/>
      <c r="S87" s="117"/>
      <c r="T87" s="117"/>
      <c r="U87" s="117"/>
      <c r="V87" s="117"/>
      <c r="W87" s="116"/>
      <c r="X87" s="117"/>
      <c r="Y87" s="116"/>
      <c r="Z87" s="116"/>
      <c r="AA87" s="116"/>
      <c r="AB87" s="116"/>
      <c r="AC87" s="118"/>
      <c r="AE87" s="116"/>
    </row>
    <row r="88" spans="1:36" s="47" customFormat="1" ht="18.75" x14ac:dyDescent="0.3">
      <c r="B88" s="112"/>
      <c r="C88" s="113"/>
      <c r="D88" s="119" t="s">
        <v>308</v>
      </c>
      <c r="E88" s="120">
        <f>SUMIF(Y2:Y85,"Traverse *",E2:E85)</f>
        <v>26</v>
      </c>
      <c r="F88" s="121"/>
      <c r="G88" s="120">
        <f>SUMIF(Y2:Y85,"Traverse *",G2:G85)</f>
        <v>162040</v>
      </c>
      <c r="H88" s="120"/>
      <c r="I88" s="120"/>
      <c r="J88" s="120"/>
      <c r="K88" s="120">
        <f>SUMIF(Y2:Y85,"Traverse *",K2:K85)</f>
        <v>15812.956597222221</v>
      </c>
      <c r="L88" s="116"/>
      <c r="M88" s="116"/>
      <c r="N88" s="116"/>
      <c r="O88" s="116"/>
      <c r="P88" s="116"/>
      <c r="Q88" s="116"/>
      <c r="R88" s="116"/>
      <c r="S88" s="117"/>
      <c r="T88" s="117"/>
      <c r="U88" s="117"/>
      <c r="V88" s="117"/>
      <c r="W88" s="116"/>
      <c r="X88" s="117"/>
      <c r="Y88" s="116"/>
      <c r="Z88" s="116"/>
      <c r="AA88" s="116"/>
      <c r="AB88" s="116"/>
      <c r="AC88" s="118"/>
      <c r="AE88" s="116"/>
    </row>
    <row r="89" spans="1:36" s="13" customFormat="1" ht="18.75" x14ac:dyDescent="0.3">
      <c r="B89" s="122"/>
      <c r="C89" s="123"/>
      <c r="D89" s="13" t="s">
        <v>309</v>
      </c>
      <c r="E89" s="124">
        <f>SUM(E87:E88)</f>
        <v>241</v>
      </c>
      <c r="F89" s="125"/>
      <c r="G89" s="124">
        <f>SUM(G87:G88)</f>
        <v>483215</v>
      </c>
      <c r="H89" s="124"/>
      <c r="I89" s="124"/>
      <c r="J89" s="124"/>
      <c r="K89" s="124">
        <f>SUM(K87:K88)</f>
        <v>39886.447916666664</v>
      </c>
      <c r="L89" s="126"/>
      <c r="M89" s="126"/>
      <c r="N89" s="126"/>
      <c r="O89" s="126"/>
      <c r="P89" s="126"/>
      <c r="Q89" s="126"/>
      <c r="R89" s="126"/>
      <c r="S89" s="127"/>
      <c r="T89" s="127"/>
      <c r="U89" s="127"/>
      <c r="V89" s="127"/>
      <c r="W89" s="126"/>
      <c r="X89" s="127"/>
      <c r="Y89" s="126"/>
      <c r="Z89" s="126"/>
      <c r="AA89" s="126"/>
      <c r="AB89" s="126"/>
      <c r="AC89" s="128"/>
      <c r="AE89" s="126"/>
    </row>
    <row r="92" spans="1:36" x14ac:dyDescent="0.25">
      <c r="A92" s="129" t="s">
        <v>310</v>
      </c>
    </row>
    <row r="93" spans="1:36" x14ac:dyDescent="0.25">
      <c r="A93" s="129" t="s">
        <v>311</v>
      </c>
    </row>
    <row r="94" spans="1:36" x14ac:dyDescent="0.25">
      <c r="A94" s="129" t="s">
        <v>312</v>
      </c>
    </row>
    <row r="95" spans="1:36" x14ac:dyDescent="0.25">
      <c r="A95" s="8" t="s">
        <v>313</v>
      </c>
    </row>
    <row r="96" spans="1:36" x14ac:dyDescent="0.25">
      <c r="A96" s="8" t="s">
        <v>314</v>
      </c>
    </row>
    <row r="97" spans="1:1" x14ac:dyDescent="0.25">
      <c r="A97" s="8" t="s">
        <v>315</v>
      </c>
    </row>
    <row r="98" spans="1:1" x14ac:dyDescent="0.25">
      <c r="A98" s="8" t="s">
        <v>316</v>
      </c>
    </row>
    <row r="99" spans="1:1" x14ac:dyDescent="0.25">
      <c r="A99" s="8" t="s">
        <v>317</v>
      </c>
    </row>
    <row r="100" spans="1:1" x14ac:dyDescent="0.25">
      <c r="A100" s="8" t="s">
        <v>318</v>
      </c>
    </row>
    <row r="101" spans="1:1" x14ac:dyDescent="0.25">
      <c r="A101" s="8" t="s">
        <v>319</v>
      </c>
    </row>
    <row r="102" spans="1:1" x14ac:dyDescent="0.25">
      <c r="A102" s="8" t="s">
        <v>320</v>
      </c>
    </row>
    <row r="103" spans="1:1" x14ac:dyDescent="0.25">
      <c r="A103" s="8" t="s">
        <v>321</v>
      </c>
    </row>
  </sheetData>
  <autoFilter ref="A1:AJ68" xr:uid="{F1A744E4-10FF-49DD-8AF5-F11D7970F876}">
    <sortState xmlns:xlrd2="http://schemas.microsoft.com/office/spreadsheetml/2017/richdata2" ref="A2:AJ68">
      <sortCondition ref="A1:A6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90AA-F1D7-443D-B12B-1D4FB5F1186C}">
  <dimension ref="A1:AA60"/>
  <sheetViews>
    <sheetView workbookViewId="0">
      <pane xSplit="5" topLeftCell="F1" activePane="topRight" state="frozen"/>
      <selection pane="topRight" activeCell="A2" sqref="A2"/>
    </sheetView>
  </sheetViews>
  <sheetFormatPr defaultRowHeight="15" x14ac:dyDescent="0.2"/>
  <cols>
    <col min="1" max="1" width="9.140625" style="165"/>
    <col min="2" max="2" width="23.28515625" style="165" bestFit="1" customWidth="1"/>
    <col min="3" max="3" width="7.5703125" style="166" customWidth="1"/>
    <col min="4" max="4" width="7.140625" style="166" bestFit="1" customWidth="1"/>
    <col min="5" max="5" width="78.85546875" style="167" customWidth="1"/>
    <col min="6" max="6" width="2.140625" style="168" customWidth="1"/>
    <col min="7" max="7" width="9.140625" style="169"/>
    <col min="8" max="10" width="9.140625" style="171"/>
    <col min="11" max="11" width="9.140625" style="214"/>
    <col min="12" max="14" width="9.140625" style="172"/>
    <col min="15" max="17" width="9.140625" style="173"/>
    <col min="18" max="18" width="9.140625" style="170"/>
    <col min="19" max="21" width="9.140625" style="174"/>
    <col min="22" max="24" width="9.140625" style="175"/>
    <col min="25" max="27" width="9.140625" style="176"/>
    <col min="28" max="16384" width="9.140625" style="165"/>
  </cols>
  <sheetData>
    <row r="1" spans="1:27" s="192" customFormat="1" ht="12.75" x14ac:dyDescent="0.2">
      <c r="A1" s="208" t="s">
        <v>322</v>
      </c>
      <c r="C1" s="228"/>
      <c r="D1" s="228"/>
      <c r="E1" s="167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</row>
    <row r="2" spans="1:27" s="192" customFormat="1" ht="12.75" x14ac:dyDescent="0.2">
      <c r="A2" s="222">
        <v>43929</v>
      </c>
      <c r="C2" s="228"/>
      <c r="D2" s="228"/>
      <c r="E2" s="167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27" s="192" customFormat="1" ht="12.75" x14ac:dyDescent="0.2">
      <c r="A3" s="192" t="s">
        <v>323</v>
      </c>
      <c r="C3" s="228"/>
      <c r="D3" s="228"/>
      <c r="E3" s="167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</row>
    <row r="4" spans="1:27" s="192" customFormat="1" ht="12.75" x14ac:dyDescent="0.2">
      <c r="A4" s="192" t="s">
        <v>324</v>
      </c>
      <c r="C4" s="228"/>
      <c r="D4" s="228"/>
      <c r="E4" s="167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spans="1:27" s="207" customFormat="1" ht="12.75" x14ac:dyDescent="0.2">
      <c r="C5" s="209"/>
      <c r="D5" s="209"/>
      <c r="E5" s="210"/>
      <c r="F5" s="211"/>
      <c r="G5" s="302" t="s">
        <v>325</v>
      </c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9" t="s">
        <v>326</v>
      </c>
      <c r="S5" s="309"/>
      <c r="T5" s="309"/>
      <c r="U5" s="309"/>
      <c r="V5" s="309"/>
      <c r="W5" s="309"/>
      <c r="X5" s="309"/>
      <c r="Y5" s="309"/>
      <c r="Z5" s="309"/>
      <c r="AA5" s="309"/>
    </row>
    <row r="6" spans="1:27" ht="12.75" x14ac:dyDescent="0.2">
      <c r="A6" s="288" t="s">
        <v>327</v>
      </c>
      <c r="B6" s="294" t="s">
        <v>328</v>
      </c>
      <c r="C6" s="290" t="s">
        <v>329</v>
      </c>
      <c r="D6" s="292" t="s">
        <v>330</v>
      </c>
      <c r="E6" s="296"/>
      <c r="F6" s="228"/>
      <c r="G6" s="303" t="s">
        <v>331</v>
      </c>
      <c r="H6" s="301" t="s">
        <v>332</v>
      </c>
      <c r="I6" s="301"/>
      <c r="J6" s="301"/>
      <c r="K6" s="301"/>
      <c r="L6" s="301"/>
      <c r="M6" s="301"/>
      <c r="N6" s="301"/>
      <c r="O6" s="301"/>
      <c r="P6" s="301"/>
      <c r="Q6" s="301"/>
      <c r="R6" s="310" t="s">
        <v>331</v>
      </c>
      <c r="S6" s="308" t="s">
        <v>332</v>
      </c>
      <c r="T6" s="308"/>
      <c r="U6" s="308"/>
      <c r="V6" s="308"/>
      <c r="W6" s="308"/>
      <c r="X6" s="308"/>
      <c r="Y6" s="308"/>
      <c r="Z6" s="308"/>
      <c r="AA6" s="308"/>
    </row>
    <row r="7" spans="1:27" ht="12.75" x14ac:dyDescent="0.2">
      <c r="A7" s="288"/>
      <c r="B7" s="294"/>
      <c r="C7" s="290"/>
      <c r="D7" s="292"/>
      <c r="E7" s="296"/>
      <c r="F7" s="228"/>
      <c r="G7" s="303"/>
      <c r="H7" s="298" t="s">
        <v>333</v>
      </c>
      <c r="I7" s="298"/>
      <c r="J7" s="298"/>
      <c r="K7" s="229"/>
      <c r="L7" s="299" t="s">
        <v>334</v>
      </c>
      <c r="M7" s="299"/>
      <c r="N7" s="299"/>
      <c r="O7" s="300" t="s">
        <v>335</v>
      </c>
      <c r="P7" s="300"/>
      <c r="Q7" s="300"/>
      <c r="R7" s="310"/>
      <c r="S7" s="305" t="s">
        <v>333</v>
      </c>
      <c r="T7" s="305"/>
      <c r="U7" s="305"/>
      <c r="V7" s="306" t="s">
        <v>334</v>
      </c>
      <c r="W7" s="306"/>
      <c r="X7" s="306"/>
      <c r="Y7" s="307" t="s">
        <v>335</v>
      </c>
      <c r="Z7" s="307"/>
      <c r="AA7" s="307"/>
    </row>
    <row r="8" spans="1:27" ht="12.75" x14ac:dyDescent="0.2">
      <c r="A8" s="289"/>
      <c r="B8" s="295"/>
      <c r="C8" s="291"/>
      <c r="D8" s="293"/>
      <c r="E8" s="297"/>
      <c r="F8" s="228"/>
      <c r="G8" s="304"/>
      <c r="H8" s="229" t="s">
        <v>336</v>
      </c>
      <c r="I8" s="229" t="s">
        <v>337</v>
      </c>
      <c r="J8" s="229" t="s">
        <v>338</v>
      </c>
      <c r="K8" s="229" t="s">
        <v>339</v>
      </c>
      <c r="L8" s="230" t="s">
        <v>336</v>
      </c>
      <c r="M8" s="230" t="s">
        <v>337</v>
      </c>
      <c r="N8" s="230" t="s">
        <v>338</v>
      </c>
      <c r="O8" s="231" t="s">
        <v>336</v>
      </c>
      <c r="P8" s="231" t="s">
        <v>337</v>
      </c>
      <c r="Q8" s="231" t="s">
        <v>338</v>
      </c>
      <c r="R8" s="311"/>
      <c r="S8" s="233" t="s">
        <v>336</v>
      </c>
      <c r="T8" s="233" t="s">
        <v>337</v>
      </c>
      <c r="U8" s="233" t="s">
        <v>338</v>
      </c>
      <c r="V8" s="234" t="s">
        <v>336</v>
      </c>
      <c r="W8" s="234" t="s">
        <v>337</v>
      </c>
      <c r="X8" s="234" t="s">
        <v>338</v>
      </c>
      <c r="Y8" s="235" t="s">
        <v>336</v>
      </c>
      <c r="Z8" s="235" t="s">
        <v>337</v>
      </c>
      <c r="AA8" s="235" t="s">
        <v>338</v>
      </c>
    </row>
    <row r="9" spans="1:27" s="177" customFormat="1" ht="12.75" x14ac:dyDescent="0.2">
      <c r="A9" s="212">
        <v>8</v>
      </c>
      <c r="B9" s="177" t="s">
        <v>340</v>
      </c>
      <c r="C9" s="178" t="s">
        <v>341</v>
      </c>
      <c r="D9" s="182">
        <v>1</v>
      </c>
      <c r="E9" s="180" t="s">
        <v>342</v>
      </c>
      <c r="F9" s="181"/>
      <c r="G9" s="182"/>
      <c r="H9" s="183" t="s">
        <v>343</v>
      </c>
      <c r="I9" s="183"/>
      <c r="J9" s="183"/>
      <c r="K9" s="183"/>
      <c r="L9" s="184"/>
      <c r="M9" s="184"/>
      <c r="N9" s="184"/>
      <c r="O9" s="185"/>
      <c r="P9" s="185"/>
      <c r="Q9" s="185"/>
      <c r="R9" s="179"/>
      <c r="S9" s="186"/>
      <c r="T9" s="186"/>
      <c r="U9" s="186"/>
      <c r="V9" s="187"/>
      <c r="W9" s="187"/>
      <c r="X9" s="187"/>
      <c r="Y9" s="188"/>
      <c r="Z9" s="188"/>
      <c r="AA9" s="188"/>
    </row>
    <row r="10" spans="1:27" s="177" customFormat="1" ht="12.75" x14ac:dyDescent="0.2">
      <c r="A10" s="212">
        <v>5</v>
      </c>
      <c r="B10" s="177" t="s">
        <v>344</v>
      </c>
      <c r="C10" s="178" t="s">
        <v>341</v>
      </c>
      <c r="D10" s="182">
        <v>2</v>
      </c>
      <c r="E10" s="180" t="s">
        <v>345</v>
      </c>
      <c r="F10" s="181"/>
      <c r="G10" s="182"/>
      <c r="H10" s="183" t="s">
        <v>343</v>
      </c>
      <c r="I10" s="183"/>
      <c r="J10" s="183"/>
      <c r="K10" s="183"/>
      <c r="L10" s="184"/>
      <c r="M10" s="184"/>
      <c r="N10" s="184"/>
      <c r="O10" s="185"/>
      <c r="P10" s="185"/>
      <c r="Q10" s="185"/>
      <c r="R10" s="179"/>
      <c r="S10" s="186"/>
      <c r="T10" s="186"/>
      <c r="U10" s="186"/>
      <c r="V10" s="187"/>
      <c r="W10" s="187"/>
      <c r="X10" s="187"/>
      <c r="Y10" s="188"/>
      <c r="Z10" s="188"/>
      <c r="AA10" s="188"/>
    </row>
    <row r="11" spans="1:27" s="177" customFormat="1" ht="12.75" x14ac:dyDescent="0.2">
      <c r="A11" s="212">
        <v>9</v>
      </c>
      <c r="B11" s="177" t="s">
        <v>346</v>
      </c>
      <c r="C11" s="178" t="s">
        <v>341</v>
      </c>
      <c r="D11" s="182">
        <v>3</v>
      </c>
      <c r="E11" s="180" t="s">
        <v>342</v>
      </c>
      <c r="F11" s="181"/>
      <c r="G11" s="182"/>
      <c r="H11" s="183"/>
      <c r="I11" s="183" t="s">
        <v>343</v>
      </c>
      <c r="J11" s="183"/>
      <c r="K11" s="183"/>
      <c r="L11" s="184"/>
      <c r="M11" s="184"/>
      <c r="N11" s="184"/>
      <c r="O11" s="185"/>
      <c r="P11" s="185"/>
      <c r="Q11" s="185"/>
      <c r="R11" s="179"/>
      <c r="S11" s="186"/>
      <c r="T11" s="186"/>
      <c r="U11" s="186"/>
      <c r="V11" s="187"/>
      <c r="W11" s="187"/>
      <c r="X11" s="187"/>
      <c r="Y11" s="188"/>
      <c r="Z11" s="188"/>
      <c r="AA11" s="188"/>
    </row>
    <row r="12" spans="1:27" s="177" customFormat="1" ht="12.75" x14ac:dyDescent="0.2">
      <c r="A12" s="212">
        <v>15</v>
      </c>
      <c r="B12" s="177" t="s">
        <v>347</v>
      </c>
      <c r="C12" s="178" t="s">
        <v>341</v>
      </c>
      <c r="D12" s="182">
        <v>4</v>
      </c>
      <c r="E12" s="180" t="s">
        <v>348</v>
      </c>
      <c r="F12" s="181"/>
      <c r="G12" s="182"/>
      <c r="H12" s="183"/>
      <c r="I12" s="183" t="s">
        <v>343</v>
      </c>
      <c r="J12" s="183"/>
      <c r="K12" s="183"/>
      <c r="L12" s="184"/>
      <c r="M12" s="184"/>
      <c r="N12" s="184"/>
      <c r="O12" s="185"/>
      <c r="P12" s="185"/>
      <c r="Q12" s="185"/>
      <c r="R12" s="179"/>
      <c r="S12" s="186"/>
      <c r="T12" s="186"/>
      <c r="U12" s="186"/>
      <c r="V12" s="187"/>
      <c r="W12" s="187"/>
      <c r="X12" s="187"/>
      <c r="Y12" s="188"/>
      <c r="Z12" s="188"/>
      <c r="AA12" s="188"/>
    </row>
    <row r="13" spans="1:27" s="177" customFormat="1" ht="12.75" x14ac:dyDescent="0.2">
      <c r="A13" s="212">
        <v>70</v>
      </c>
      <c r="B13" s="189" t="s">
        <v>349</v>
      </c>
      <c r="C13" s="178" t="s">
        <v>341</v>
      </c>
      <c r="D13" s="182">
        <v>5</v>
      </c>
      <c r="E13" s="180" t="s">
        <v>350</v>
      </c>
      <c r="F13" s="181"/>
      <c r="G13" s="182"/>
      <c r="H13" s="183"/>
      <c r="I13" s="183" t="s">
        <v>343</v>
      </c>
      <c r="J13" s="183"/>
      <c r="K13" s="183"/>
      <c r="L13" s="184"/>
      <c r="M13" s="184"/>
      <c r="N13" s="184"/>
      <c r="O13" s="185"/>
      <c r="P13" s="185"/>
      <c r="Q13" s="185"/>
      <c r="R13" s="179"/>
      <c r="S13" s="186"/>
      <c r="T13" s="186"/>
      <c r="U13" s="186"/>
      <c r="V13" s="187"/>
      <c r="W13" s="187"/>
      <c r="X13" s="187"/>
      <c r="Y13" s="188"/>
      <c r="Z13" s="188"/>
      <c r="AA13" s="188"/>
    </row>
    <row r="14" spans="1:27" s="177" customFormat="1" ht="12.75" x14ac:dyDescent="0.2">
      <c r="A14" s="212">
        <v>81</v>
      </c>
      <c r="B14" s="177" t="s">
        <v>351</v>
      </c>
      <c r="C14" s="178" t="s">
        <v>87</v>
      </c>
      <c r="D14" s="182">
        <v>6</v>
      </c>
      <c r="E14" s="180" t="s">
        <v>352</v>
      </c>
      <c r="F14" s="181"/>
      <c r="G14" s="182"/>
      <c r="H14" s="183" t="s">
        <v>343</v>
      </c>
      <c r="I14" s="183" t="s">
        <v>343</v>
      </c>
      <c r="J14" s="183"/>
      <c r="K14" s="183"/>
      <c r="L14" s="184"/>
      <c r="M14" s="184"/>
      <c r="N14" s="184"/>
      <c r="O14" s="185"/>
      <c r="P14" s="185"/>
      <c r="Q14" s="185"/>
      <c r="R14" s="179"/>
      <c r="S14" s="186"/>
      <c r="T14" s="186"/>
      <c r="U14" s="186"/>
      <c r="V14" s="187"/>
      <c r="W14" s="187"/>
      <c r="X14" s="187"/>
      <c r="Y14" s="188"/>
      <c r="Z14" s="188"/>
      <c r="AA14" s="188"/>
    </row>
    <row r="15" spans="1:27" s="177" customFormat="1" ht="12.75" x14ac:dyDescent="0.2">
      <c r="A15" s="212">
        <v>19</v>
      </c>
      <c r="B15" s="177" t="s">
        <v>353</v>
      </c>
      <c r="C15" s="178" t="s">
        <v>341</v>
      </c>
      <c r="D15" s="182">
        <v>7</v>
      </c>
      <c r="E15" s="180" t="s">
        <v>354</v>
      </c>
      <c r="F15" s="181"/>
      <c r="G15" s="182"/>
      <c r="H15" s="183"/>
      <c r="I15" s="183"/>
      <c r="J15" s="183" t="s">
        <v>343</v>
      </c>
      <c r="K15" s="183"/>
      <c r="L15" s="215"/>
      <c r="M15" s="215"/>
      <c r="N15" s="215"/>
      <c r="O15" s="185"/>
      <c r="P15" s="185"/>
      <c r="Q15" s="185"/>
      <c r="R15" s="179"/>
      <c r="S15" s="186"/>
      <c r="T15" s="186"/>
      <c r="U15" s="186"/>
      <c r="V15" s="187"/>
      <c r="W15" s="187"/>
      <c r="X15" s="187"/>
      <c r="Y15" s="188"/>
      <c r="Z15" s="188"/>
      <c r="AA15" s="188"/>
    </row>
    <row r="16" spans="1:27" s="177" customFormat="1" ht="12.75" x14ac:dyDescent="0.2">
      <c r="A16" s="212">
        <v>72</v>
      </c>
      <c r="B16" s="177" t="s">
        <v>355</v>
      </c>
      <c r="C16" s="178" t="s">
        <v>341</v>
      </c>
      <c r="D16" s="182">
        <v>8</v>
      </c>
      <c r="E16" s="180" t="s">
        <v>356</v>
      </c>
      <c r="F16" s="181"/>
      <c r="G16" s="182"/>
      <c r="H16" s="183"/>
      <c r="I16" s="183"/>
      <c r="J16" s="183" t="s">
        <v>343</v>
      </c>
      <c r="K16" s="183"/>
      <c r="L16" s="215"/>
      <c r="M16" s="215"/>
      <c r="N16" s="215"/>
      <c r="O16" s="185"/>
      <c r="P16" s="185"/>
      <c r="Q16" s="185"/>
      <c r="R16" s="179"/>
      <c r="S16" s="186"/>
      <c r="T16" s="186"/>
      <c r="U16" s="186"/>
      <c r="V16" s="187"/>
      <c r="W16" s="187"/>
      <c r="X16" s="187"/>
      <c r="Y16" s="188"/>
      <c r="Z16" s="188"/>
      <c r="AA16" s="188"/>
    </row>
    <row r="17" spans="1:27" s="177" customFormat="1" ht="12.75" x14ac:dyDescent="0.2">
      <c r="A17" s="212">
        <v>73</v>
      </c>
      <c r="B17" s="177" t="s">
        <v>357</v>
      </c>
      <c r="C17" s="178" t="s">
        <v>341</v>
      </c>
      <c r="D17" s="182">
        <v>9</v>
      </c>
      <c r="E17" s="180" t="s">
        <v>356</v>
      </c>
      <c r="F17" s="181"/>
      <c r="G17" s="182"/>
      <c r="H17" s="183"/>
      <c r="I17" s="183"/>
      <c r="J17" s="183" t="s">
        <v>343</v>
      </c>
      <c r="K17" s="183"/>
      <c r="L17" s="215"/>
      <c r="M17" s="215"/>
      <c r="N17" s="215"/>
      <c r="O17" s="185"/>
      <c r="P17" s="185"/>
      <c r="Q17" s="185"/>
      <c r="R17" s="179"/>
      <c r="S17" s="186"/>
      <c r="T17" s="186"/>
      <c r="U17" s="186"/>
      <c r="V17" s="187"/>
      <c r="W17" s="187"/>
      <c r="X17" s="187"/>
      <c r="Y17" s="188"/>
      <c r="Z17" s="188"/>
      <c r="AA17" s="188"/>
    </row>
    <row r="18" spans="1:27" s="177" customFormat="1" ht="12.75" x14ac:dyDescent="0.2">
      <c r="A18" s="212">
        <v>11</v>
      </c>
      <c r="B18" s="177" t="s">
        <v>358</v>
      </c>
      <c r="C18" s="178" t="s">
        <v>341</v>
      </c>
      <c r="D18" s="182">
        <v>10</v>
      </c>
      <c r="E18" s="180" t="s">
        <v>359</v>
      </c>
      <c r="F18" s="181"/>
      <c r="G18" s="182"/>
      <c r="H18" s="183"/>
      <c r="I18" s="183"/>
      <c r="J18" s="183"/>
      <c r="K18" s="183" t="s">
        <v>343</v>
      </c>
      <c r="L18" s="215"/>
      <c r="M18" s="215"/>
      <c r="N18" s="215"/>
      <c r="O18" s="185"/>
      <c r="P18" s="185"/>
      <c r="Q18" s="185"/>
      <c r="R18" s="179"/>
      <c r="S18" s="186"/>
      <c r="T18" s="186"/>
      <c r="U18" s="186"/>
      <c r="V18" s="187"/>
      <c r="W18" s="187"/>
      <c r="X18" s="187"/>
      <c r="Y18" s="188"/>
      <c r="Z18" s="188"/>
      <c r="AA18" s="188"/>
    </row>
    <row r="19" spans="1:27" s="177" customFormat="1" ht="12.75" x14ac:dyDescent="0.2">
      <c r="A19" s="212">
        <v>34</v>
      </c>
      <c r="B19" s="189" t="s">
        <v>360</v>
      </c>
      <c r="C19" s="178" t="s">
        <v>87</v>
      </c>
      <c r="D19" s="179">
        <v>1</v>
      </c>
      <c r="E19" s="180" t="s">
        <v>361</v>
      </c>
      <c r="F19" s="181"/>
      <c r="G19" s="182"/>
      <c r="H19" s="183"/>
      <c r="I19" s="183"/>
      <c r="J19" s="183"/>
      <c r="K19" s="183"/>
      <c r="L19" s="184"/>
      <c r="M19" s="184"/>
      <c r="N19" s="184"/>
      <c r="O19" s="185"/>
      <c r="P19" s="185"/>
      <c r="Q19" s="185"/>
      <c r="R19" s="179"/>
      <c r="S19" s="186"/>
      <c r="T19" s="186"/>
      <c r="U19" s="186"/>
      <c r="V19" s="187" t="s">
        <v>343</v>
      </c>
      <c r="W19" s="187"/>
      <c r="X19" s="187"/>
      <c r="Y19" s="188"/>
      <c r="Z19" s="188"/>
      <c r="AA19" s="188"/>
    </row>
    <row r="20" spans="1:27" s="177" customFormat="1" ht="12.75" x14ac:dyDescent="0.2">
      <c r="A20" s="212">
        <v>36</v>
      </c>
      <c r="B20" s="177" t="s">
        <v>242</v>
      </c>
      <c r="C20" s="178" t="s">
        <v>87</v>
      </c>
      <c r="D20" s="179">
        <v>2</v>
      </c>
      <c r="E20" s="180" t="s">
        <v>361</v>
      </c>
      <c r="F20" s="181"/>
      <c r="G20" s="182"/>
      <c r="H20" s="183"/>
      <c r="I20" s="183"/>
      <c r="J20" s="183"/>
      <c r="K20" s="183"/>
      <c r="L20" s="184"/>
      <c r="M20" s="184"/>
      <c r="N20" s="184"/>
      <c r="O20" s="185"/>
      <c r="P20" s="185"/>
      <c r="Q20" s="185"/>
      <c r="R20" s="179"/>
      <c r="S20" s="186"/>
      <c r="T20" s="186"/>
      <c r="U20" s="186"/>
      <c r="V20" s="187" t="s">
        <v>343</v>
      </c>
      <c r="W20" s="187"/>
      <c r="X20" s="187"/>
      <c r="Y20" s="188"/>
      <c r="Z20" s="188"/>
      <c r="AA20" s="188"/>
    </row>
    <row r="21" spans="1:27" s="177" customFormat="1" ht="12.75" x14ac:dyDescent="0.2">
      <c r="A21" s="212">
        <v>18</v>
      </c>
      <c r="B21" s="189" t="s">
        <v>220</v>
      </c>
      <c r="C21" s="178" t="s">
        <v>87</v>
      </c>
      <c r="D21" s="179">
        <v>3</v>
      </c>
      <c r="E21" s="180" t="s">
        <v>361</v>
      </c>
      <c r="F21" s="181"/>
      <c r="G21" s="182"/>
      <c r="H21" s="183"/>
      <c r="I21" s="183"/>
      <c r="J21" s="183"/>
      <c r="K21" s="183"/>
      <c r="L21" s="184"/>
      <c r="M21" s="184"/>
      <c r="N21" s="184"/>
      <c r="O21" s="185"/>
      <c r="P21" s="185"/>
      <c r="Q21" s="185"/>
      <c r="R21" s="179"/>
      <c r="S21" s="186"/>
      <c r="T21" s="186"/>
      <c r="U21" s="186"/>
      <c r="V21" s="187" t="s">
        <v>343</v>
      </c>
      <c r="W21" s="187"/>
      <c r="X21" s="187"/>
      <c r="Y21" s="188"/>
      <c r="Z21" s="188"/>
      <c r="AA21" s="188"/>
    </row>
    <row r="22" spans="1:27" s="177" customFormat="1" ht="12.75" x14ac:dyDescent="0.2">
      <c r="A22" s="212">
        <v>71</v>
      </c>
      <c r="B22" s="189" t="s">
        <v>362</v>
      </c>
      <c r="C22" s="178" t="s">
        <v>87</v>
      </c>
      <c r="D22" s="179">
        <v>4</v>
      </c>
      <c r="E22" s="180" t="s">
        <v>363</v>
      </c>
      <c r="F22" s="181"/>
      <c r="G22" s="182"/>
      <c r="H22" s="183"/>
      <c r="I22" s="183"/>
      <c r="J22" s="183"/>
      <c r="K22" s="183"/>
      <c r="L22" s="184"/>
      <c r="M22" s="184"/>
      <c r="N22" s="184"/>
      <c r="O22" s="185"/>
      <c r="P22" s="185"/>
      <c r="Q22" s="185"/>
      <c r="R22" s="179"/>
      <c r="S22" s="186"/>
      <c r="T22" s="186"/>
      <c r="U22" s="186"/>
      <c r="V22" s="187"/>
      <c r="W22" s="187" t="s">
        <v>343</v>
      </c>
      <c r="X22" s="187"/>
      <c r="Y22" s="188"/>
      <c r="Z22" s="188"/>
      <c r="AA22" s="188"/>
    </row>
    <row r="23" spans="1:27" s="177" customFormat="1" ht="12.75" x14ac:dyDescent="0.2">
      <c r="A23" s="212">
        <v>83</v>
      </c>
      <c r="B23" s="189" t="s">
        <v>304</v>
      </c>
      <c r="C23" s="178" t="s">
        <v>87</v>
      </c>
      <c r="D23" s="179">
        <v>5</v>
      </c>
      <c r="E23" s="180" t="s">
        <v>364</v>
      </c>
      <c r="F23" s="181"/>
      <c r="G23" s="182"/>
      <c r="H23" s="183"/>
      <c r="I23" s="183"/>
      <c r="J23" s="183"/>
      <c r="K23" s="183"/>
      <c r="L23" s="184"/>
      <c r="M23" s="184"/>
      <c r="N23" s="184"/>
      <c r="O23" s="185"/>
      <c r="P23" s="185"/>
      <c r="Q23" s="185"/>
      <c r="R23" s="179"/>
      <c r="S23" s="186"/>
      <c r="T23" s="186"/>
      <c r="U23" s="186"/>
      <c r="V23" s="187"/>
      <c r="W23" s="187"/>
      <c r="X23" s="187" t="s">
        <v>343</v>
      </c>
      <c r="Y23" s="188"/>
      <c r="Z23" s="188"/>
      <c r="AA23" s="188"/>
    </row>
    <row r="24" spans="1:27" s="177" customFormat="1" ht="12.75" x14ac:dyDescent="0.2">
      <c r="A24" s="212">
        <v>84</v>
      </c>
      <c r="B24" s="189" t="s">
        <v>365</v>
      </c>
      <c r="C24" s="178" t="s">
        <v>87</v>
      </c>
      <c r="D24" s="179">
        <v>6</v>
      </c>
      <c r="E24" s="180" t="s">
        <v>366</v>
      </c>
      <c r="F24" s="181"/>
      <c r="G24" s="182"/>
      <c r="H24" s="183"/>
      <c r="I24" s="183"/>
      <c r="J24" s="183"/>
      <c r="K24" s="183"/>
      <c r="L24" s="184"/>
      <c r="M24" s="184"/>
      <c r="N24" s="184"/>
      <c r="O24" s="185"/>
      <c r="P24" s="185"/>
      <c r="Q24" s="185"/>
      <c r="R24" s="179"/>
      <c r="S24" s="186"/>
      <c r="T24" s="186"/>
      <c r="U24" s="186"/>
      <c r="V24" s="187"/>
      <c r="W24" s="187"/>
      <c r="X24" s="187" t="s">
        <v>343</v>
      </c>
      <c r="Y24" s="188"/>
      <c r="Z24" s="188"/>
      <c r="AA24" s="188"/>
    </row>
    <row r="25" spans="1:27" s="194" customFormat="1" ht="12.75" x14ac:dyDescent="0.2">
      <c r="A25" s="213">
        <v>35</v>
      </c>
      <c r="B25" s="195" t="s">
        <v>367</v>
      </c>
      <c r="C25" s="196" t="s">
        <v>87</v>
      </c>
      <c r="D25" s="197">
        <v>7</v>
      </c>
      <c r="E25" s="198" t="s">
        <v>368</v>
      </c>
      <c r="F25" s="199"/>
      <c r="G25" s="200"/>
      <c r="H25" s="201"/>
      <c r="I25" s="201"/>
      <c r="J25" s="201"/>
      <c r="K25" s="201"/>
      <c r="L25" s="202"/>
      <c r="M25" s="202"/>
      <c r="N25" s="202"/>
      <c r="O25" s="203"/>
      <c r="P25" s="203"/>
      <c r="Q25" s="203"/>
      <c r="R25" s="197"/>
      <c r="S25" s="204"/>
      <c r="T25" s="204"/>
      <c r="U25" s="204"/>
      <c r="V25" s="205" t="s">
        <v>343</v>
      </c>
      <c r="W25" s="205"/>
      <c r="X25" s="205"/>
      <c r="Y25" s="206"/>
      <c r="Z25" s="206"/>
      <c r="AA25" s="206"/>
    </row>
    <row r="26" spans="1:27" s="177" customFormat="1" ht="12.75" x14ac:dyDescent="0.2">
      <c r="A26" s="212">
        <v>37</v>
      </c>
      <c r="B26" s="177" t="s">
        <v>369</v>
      </c>
      <c r="C26" s="178" t="s">
        <v>87</v>
      </c>
      <c r="D26" s="179">
        <v>8</v>
      </c>
      <c r="E26" s="180" t="s">
        <v>368</v>
      </c>
      <c r="F26" s="181"/>
      <c r="G26" s="182"/>
      <c r="H26" s="183"/>
      <c r="I26" s="183"/>
      <c r="J26" s="183"/>
      <c r="K26" s="183"/>
      <c r="L26" s="184"/>
      <c r="M26" s="184"/>
      <c r="N26" s="184"/>
      <c r="O26" s="185"/>
      <c r="P26" s="185"/>
      <c r="Q26" s="185"/>
      <c r="R26" s="179"/>
      <c r="S26" s="186"/>
      <c r="T26" s="186"/>
      <c r="U26" s="186"/>
      <c r="V26" s="187" t="s">
        <v>343</v>
      </c>
      <c r="W26" s="187"/>
      <c r="X26" s="187"/>
      <c r="Y26" s="188"/>
      <c r="Z26" s="188"/>
      <c r="AA26" s="188"/>
    </row>
    <row r="27" spans="1:27" s="177" customFormat="1" ht="12.75" x14ac:dyDescent="0.2">
      <c r="A27" s="212">
        <v>69</v>
      </c>
      <c r="B27" s="177" t="s">
        <v>288</v>
      </c>
      <c r="C27" s="178" t="s">
        <v>341</v>
      </c>
      <c r="D27" s="179">
        <v>9</v>
      </c>
      <c r="E27" s="180" t="s">
        <v>370</v>
      </c>
      <c r="F27" s="181"/>
      <c r="G27" s="182"/>
      <c r="H27" s="183"/>
      <c r="I27" s="183"/>
      <c r="J27" s="183"/>
      <c r="K27" s="183"/>
      <c r="L27" s="184"/>
      <c r="M27" s="184"/>
      <c r="N27" s="184"/>
      <c r="O27" s="185"/>
      <c r="P27" s="185"/>
      <c r="Q27" s="185"/>
      <c r="R27" s="179"/>
      <c r="S27" s="186"/>
      <c r="T27" s="186"/>
      <c r="U27" s="186"/>
      <c r="V27" s="187"/>
      <c r="W27" s="187" t="s">
        <v>343</v>
      </c>
      <c r="X27" s="187"/>
      <c r="Y27" s="188"/>
      <c r="Z27" s="188"/>
      <c r="AA27" s="188"/>
    </row>
    <row r="28" spans="1:27" s="177" customFormat="1" ht="12.75" x14ac:dyDescent="0.2">
      <c r="A28" s="212">
        <v>75</v>
      </c>
      <c r="B28" s="177" t="s">
        <v>371</v>
      </c>
      <c r="C28" s="178" t="s">
        <v>87</v>
      </c>
      <c r="D28" s="217">
        <v>10</v>
      </c>
      <c r="E28" s="180" t="s">
        <v>372</v>
      </c>
      <c r="F28" s="181"/>
      <c r="G28" s="182"/>
      <c r="H28" s="183"/>
      <c r="I28" s="183"/>
      <c r="J28" s="183"/>
      <c r="K28" s="183"/>
      <c r="L28" s="215"/>
      <c r="M28" s="215"/>
      <c r="N28" s="215"/>
      <c r="O28" s="185"/>
      <c r="P28" s="185"/>
      <c r="Q28" s="185"/>
      <c r="R28" s="179"/>
      <c r="S28" s="186"/>
      <c r="T28" s="186"/>
      <c r="U28" s="186"/>
      <c r="V28" s="187"/>
      <c r="W28" s="187" t="s">
        <v>343</v>
      </c>
      <c r="X28" s="187"/>
      <c r="Y28" s="188"/>
      <c r="Z28" s="188"/>
      <c r="AA28" s="188"/>
    </row>
    <row r="29" spans="1:27" s="177" customFormat="1" ht="12.75" x14ac:dyDescent="0.2">
      <c r="A29" s="212">
        <v>7</v>
      </c>
      <c r="B29" s="177" t="s">
        <v>373</v>
      </c>
      <c r="C29" s="178" t="s">
        <v>341</v>
      </c>
      <c r="D29" s="216"/>
      <c r="E29" s="180" t="s">
        <v>374</v>
      </c>
      <c r="F29" s="181"/>
      <c r="G29" s="182"/>
      <c r="H29" s="183"/>
      <c r="I29" s="183"/>
      <c r="J29" s="183"/>
      <c r="K29" s="183"/>
      <c r="L29" s="215"/>
      <c r="M29" s="215"/>
      <c r="N29" s="215"/>
      <c r="O29" s="185"/>
      <c r="P29" s="185"/>
      <c r="Q29" s="185"/>
      <c r="R29" s="179"/>
      <c r="S29" s="186"/>
      <c r="T29" s="186"/>
      <c r="U29" s="186"/>
      <c r="V29" s="187"/>
      <c r="W29" s="187"/>
      <c r="X29" s="187"/>
      <c r="Y29" s="188"/>
      <c r="Z29" s="188"/>
      <c r="AA29" s="188"/>
    </row>
    <row r="30" spans="1:27" s="177" customFormat="1" ht="12.75" x14ac:dyDescent="0.2">
      <c r="A30" s="212">
        <v>14</v>
      </c>
      <c r="B30" s="177" t="s">
        <v>375</v>
      </c>
      <c r="C30" s="178" t="s">
        <v>341</v>
      </c>
      <c r="D30" s="216"/>
      <c r="E30" s="180" t="s">
        <v>376</v>
      </c>
      <c r="F30" s="181"/>
      <c r="G30" s="182"/>
      <c r="H30" s="183"/>
      <c r="I30" s="183"/>
      <c r="J30" s="183"/>
      <c r="K30" s="183"/>
      <c r="L30" s="215"/>
      <c r="M30" s="215"/>
      <c r="N30" s="215"/>
      <c r="O30" s="185"/>
      <c r="P30" s="185"/>
      <c r="Q30" s="185"/>
      <c r="R30" s="179"/>
      <c r="S30" s="186"/>
      <c r="T30" s="186"/>
      <c r="U30" s="186"/>
      <c r="V30" s="187"/>
      <c r="W30" s="187"/>
      <c r="X30" s="187"/>
      <c r="Y30" s="188"/>
      <c r="Z30" s="188"/>
      <c r="AA30" s="188"/>
    </row>
    <row r="31" spans="1:27" s="177" customFormat="1" ht="12.75" x14ac:dyDescent="0.2">
      <c r="A31" s="212">
        <v>12</v>
      </c>
      <c r="B31" s="193" t="s">
        <v>377</v>
      </c>
      <c r="C31" s="178" t="s">
        <v>341</v>
      </c>
      <c r="D31" s="216"/>
      <c r="E31" s="180" t="s">
        <v>378</v>
      </c>
      <c r="F31" s="181"/>
      <c r="G31" s="182"/>
      <c r="H31" s="183"/>
      <c r="I31" s="183"/>
      <c r="J31" s="183"/>
      <c r="K31" s="183"/>
      <c r="L31" s="184"/>
      <c r="M31" s="184"/>
      <c r="N31" s="184"/>
      <c r="O31" s="185"/>
      <c r="P31" s="185"/>
      <c r="Q31" s="185"/>
      <c r="R31" s="179"/>
      <c r="S31" s="186"/>
      <c r="T31" s="186"/>
      <c r="U31" s="186"/>
      <c r="V31" s="187"/>
      <c r="W31" s="187"/>
      <c r="X31" s="187"/>
      <c r="Y31" s="188"/>
      <c r="Z31" s="188"/>
      <c r="AA31" s="188"/>
    </row>
    <row r="32" spans="1:27" s="177" customFormat="1" ht="12.75" x14ac:dyDescent="0.2">
      <c r="A32" s="212">
        <v>10</v>
      </c>
      <c r="B32" s="193" t="s">
        <v>379</v>
      </c>
      <c r="C32" s="178" t="s">
        <v>341</v>
      </c>
      <c r="D32" s="216"/>
      <c r="E32" s="180" t="s">
        <v>380</v>
      </c>
      <c r="F32" s="181"/>
      <c r="G32" s="182"/>
      <c r="H32" s="183"/>
      <c r="I32" s="183"/>
      <c r="J32" s="183"/>
      <c r="K32" s="183"/>
      <c r="L32" s="184"/>
      <c r="M32" s="184"/>
      <c r="N32" s="184"/>
      <c r="O32" s="185"/>
      <c r="P32" s="185"/>
      <c r="Q32" s="185"/>
      <c r="R32" s="179"/>
      <c r="S32" s="186"/>
      <c r="T32" s="186"/>
      <c r="U32" s="186"/>
      <c r="V32" s="187"/>
      <c r="W32" s="187"/>
      <c r="X32" s="187"/>
      <c r="Y32" s="188"/>
      <c r="Z32" s="188"/>
      <c r="AA32" s="188"/>
    </row>
    <row r="33" spans="3:27" ht="12.75" x14ac:dyDescent="0.2">
      <c r="C33" s="227"/>
      <c r="D33" s="227"/>
      <c r="F33" s="228"/>
      <c r="G33" s="232"/>
      <c r="H33" s="229"/>
      <c r="I33" s="229"/>
      <c r="J33" s="229"/>
      <c r="K33" s="229"/>
      <c r="L33" s="230"/>
      <c r="M33" s="230"/>
      <c r="N33" s="230"/>
      <c r="O33" s="231"/>
      <c r="P33" s="231"/>
      <c r="Q33" s="231"/>
      <c r="R33" s="236"/>
      <c r="S33" s="233"/>
      <c r="T33" s="233"/>
      <c r="U33" s="233"/>
      <c r="V33" s="234"/>
      <c r="W33" s="234"/>
      <c r="X33" s="234"/>
      <c r="Y33" s="235"/>
      <c r="Z33" s="235"/>
      <c r="AA33" s="235"/>
    </row>
    <row r="34" spans="3:27" ht="12.75" x14ac:dyDescent="0.2">
      <c r="C34" s="227"/>
      <c r="D34" s="227"/>
      <c r="F34" s="228"/>
      <c r="G34" s="232"/>
      <c r="H34" s="229"/>
      <c r="I34" s="229"/>
      <c r="J34" s="229"/>
      <c r="K34" s="229"/>
      <c r="L34" s="230"/>
      <c r="M34" s="230"/>
      <c r="N34" s="230"/>
      <c r="O34" s="231"/>
      <c r="P34" s="231"/>
      <c r="Q34" s="231"/>
      <c r="R34" s="236"/>
      <c r="S34" s="233"/>
      <c r="T34" s="233"/>
      <c r="U34" s="233"/>
      <c r="V34" s="234"/>
      <c r="W34" s="234"/>
      <c r="X34" s="234"/>
      <c r="Y34" s="235"/>
      <c r="Z34" s="235"/>
      <c r="AA34" s="235"/>
    </row>
    <row r="35" spans="3:27" ht="12.75" x14ac:dyDescent="0.2">
      <c r="C35" s="227"/>
      <c r="D35" s="227"/>
      <c r="F35" s="228"/>
      <c r="G35" s="232"/>
      <c r="H35" s="229"/>
      <c r="I35" s="229"/>
      <c r="J35" s="229"/>
      <c r="K35" s="229"/>
      <c r="L35" s="230"/>
      <c r="M35" s="230"/>
      <c r="N35" s="230"/>
      <c r="O35" s="231"/>
      <c r="P35" s="231"/>
      <c r="Q35" s="231"/>
      <c r="R35" s="236"/>
      <c r="S35" s="233"/>
      <c r="T35" s="233"/>
      <c r="U35" s="233"/>
      <c r="V35" s="234"/>
      <c r="W35" s="234"/>
      <c r="X35" s="234"/>
      <c r="Y35" s="235"/>
      <c r="Z35" s="235"/>
      <c r="AA35" s="235"/>
    </row>
    <row r="36" spans="3:27" ht="12.75" x14ac:dyDescent="0.2">
      <c r="C36" s="227"/>
      <c r="D36" s="227"/>
      <c r="F36" s="228"/>
      <c r="G36" s="232"/>
      <c r="H36" s="229"/>
      <c r="I36" s="229"/>
      <c r="J36" s="229"/>
      <c r="K36" s="229"/>
      <c r="L36" s="230"/>
      <c r="M36" s="230"/>
      <c r="N36" s="230"/>
      <c r="O36" s="231"/>
      <c r="P36" s="231"/>
      <c r="Q36" s="231"/>
      <c r="R36" s="236"/>
      <c r="S36" s="233"/>
      <c r="T36" s="233"/>
      <c r="U36" s="233"/>
      <c r="V36" s="234"/>
      <c r="W36" s="234"/>
      <c r="X36" s="234"/>
      <c r="Y36" s="235"/>
      <c r="Z36" s="235"/>
      <c r="AA36" s="235"/>
    </row>
    <row r="37" spans="3:27" ht="12.75" x14ac:dyDescent="0.2">
      <c r="C37" s="227"/>
      <c r="D37" s="227"/>
      <c r="F37" s="228"/>
      <c r="G37" s="232"/>
      <c r="H37" s="229"/>
      <c r="I37" s="229"/>
      <c r="J37" s="229"/>
      <c r="K37" s="229"/>
      <c r="L37" s="230"/>
      <c r="M37" s="230"/>
      <c r="N37" s="230"/>
      <c r="O37" s="231"/>
      <c r="P37" s="231"/>
      <c r="Q37" s="231"/>
      <c r="R37" s="236"/>
      <c r="S37" s="233"/>
      <c r="T37" s="233"/>
      <c r="U37" s="233"/>
      <c r="V37" s="234"/>
      <c r="W37" s="234"/>
      <c r="X37" s="234"/>
      <c r="Y37" s="235"/>
      <c r="Z37" s="235"/>
      <c r="AA37" s="235"/>
    </row>
    <row r="38" spans="3:27" ht="12.75" x14ac:dyDescent="0.2">
      <c r="C38" s="227"/>
      <c r="D38" s="227"/>
      <c r="F38" s="228"/>
      <c r="G38" s="232"/>
      <c r="H38" s="229"/>
      <c r="I38" s="229"/>
      <c r="J38" s="229"/>
      <c r="K38" s="229"/>
      <c r="L38" s="230"/>
      <c r="M38" s="230"/>
      <c r="N38" s="230"/>
      <c r="O38" s="231"/>
      <c r="P38" s="231"/>
      <c r="Q38" s="231"/>
      <c r="R38" s="236"/>
      <c r="S38" s="233"/>
      <c r="T38" s="233"/>
      <c r="U38" s="233"/>
      <c r="V38" s="234"/>
      <c r="W38" s="234"/>
      <c r="X38" s="234"/>
      <c r="Y38" s="235"/>
      <c r="Z38" s="235"/>
      <c r="AA38" s="235"/>
    </row>
    <row r="39" spans="3:27" ht="12.75" x14ac:dyDescent="0.2">
      <c r="C39" s="227"/>
      <c r="D39" s="227"/>
      <c r="F39" s="228"/>
      <c r="G39" s="232"/>
      <c r="H39" s="229"/>
      <c r="I39" s="229"/>
      <c r="J39" s="229"/>
      <c r="K39" s="229"/>
      <c r="L39" s="230"/>
      <c r="M39" s="230"/>
      <c r="N39" s="230"/>
      <c r="O39" s="231"/>
      <c r="P39" s="231"/>
      <c r="Q39" s="231"/>
      <c r="R39" s="236"/>
      <c r="S39" s="233"/>
      <c r="T39" s="233"/>
      <c r="U39" s="233"/>
      <c r="V39" s="234"/>
      <c r="W39" s="234"/>
      <c r="X39" s="234"/>
      <c r="Y39" s="235"/>
      <c r="Z39" s="235"/>
      <c r="AA39" s="235"/>
    </row>
    <row r="40" spans="3:27" ht="12.75" x14ac:dyDescent="0.2">
      <c r="C40" s="227"/>
      <c r="D40" s="227"/>
      <c r="F40" s="228"/>
      <c r="G40" s="232"/>
      <c r="H40" s="229"/>
      <c r="I40" s="229"/>
      <c r="J40" s="229"/>
      <c r="K40" s="229"/>
      <c r="L40" s="230"/>
      <c r="M40" s="230"/>
      <c r="N40" s="230"/>
      <c r="O40" s="231"/>
      <c r="P40" s="231"/>
      <c r="Q40" s="231"/>
      <c r="R40" s="236"/>
      <c r="S40" s="233"/>
      <c r="T40" s="233"/>
      <c r="U40" s="233"/>
      <c r="V40" s="234"/>
      <c r="W40" s="234"/>
      <c r="X40" s="234"/>
      <c r="Y40" s="235"/>
      <c r="Z40" s="235"/>
      <c r="AA40" s="235"/>
    </row>
    <row r="41" spans="3:27" ht="12.75" x14ac:dyDescent="0.2">
      <c r="C41" s="227"/>
      <c r="D41" s="227"/>
      <c r="F41" s="228"/>
      <c r="G41" s="232"/>
      <c r="H41" s="229"/>
      <c r="I41" s="229"/>
      <c r="J41" s="229"/>
      <c r="K41" s="229"/>
      <c r="L41" s="230"/>
      <c r="M41" s="230"/>
      <c r="N41" s="230"/>
      <c r="O41" s="231"/>
      <c r="P41" s="231"/>
      <c r="Q41" s="231"/>
      <c r="R41" s="236"/>
      <c r="S41" s="233"/>
      <c r="T41" s="233"/>
      <c r="U41" s="233"/>
      <c r="V41" s="234"/>
      <c r="W41" s="234"/>
      <c r="X41" s="234"/>
      <c r="Y41" s="235"/>
      <c r="Z41" s="235"/>
      <c r="AA41" s="235"/>
    </row>
    <row r="42" spans="3:27" ht="12.75" x14ac:dyDescent="0.2">
      <c r="C42" s="227"/>
      <c r="D42" s="227"/>
      <c r="F42" s="228"/>
      <c r="G42" s="232"/>
      <c r="H42" s="229"/>
      <c r="I42" s="229"/>
      <c r="J42" s="229"/>
      <c r="K42" s="229"/>
      <c r="L42" s="230"/>
      <c r="M42" s="230"/>
      <c r="N42" s="230"/>
      <c r="O42" s="231"/>
      <c r="P42" s="231"/>
      <c r="Q42" s="231"/>
      <c r="R42" s="236"/>
      <c r="S42" s="233"/>
      <c r="T42" s="233"/>
      <c r="U42" s="233"/>
      <c r="V42" s="234"/>
      <c r="W42" s="234"/>
      <c r="X42" s="234"/>
      <c r="Y42" s="235"/>
      <c r="Z42" s="235"/>
      <c r="AA42" s="235"/>
    </row>
    <row r="43" spans="3:27" ht="12.75" x14ac:dyDescent="0.2">
      <c r="C43" s="227"/>
      <c r="D43" s="227"/>
      <c r="F43" s="228"/>
      <c r="G43" s="232"/>
      <c r="H43" s="229"/>
      <c r="I43" s="229"/>
      <c r="J43" s="229"/>
      <c r="K43" s="229"/>
      <c r="L43" s="230"/>
      <c r="M43" s="230"/>
      <c r="N43" s="230"/>
      <c r="O43" s="231"/>
      <c r="P43" s="231"/>
      <c r="Q43" s="231"/>
      <c r="R43" s="236"/>
      <c r="S43" s="233"/>
      <c r="T43" s="233"/>
      <c r="U43" s="233"/>
      <c r="V43" s="234"/>
      <c r="W43" s="234"/>
      <c r="X43" s="234"/>
      <c r="Y43" s="235"/>
      <c r="Z43" s="235"/>
      <c r="AA43" s="235"/>
    </row>
    <row r="44" spans="3:27" ht="12.75" x14ac:dyDescent="0.2">
      <c r="C44" s="227"/>
      <c r="D44" s="227"/>
      <c r="F44" s="228"/>
      <c r="G44" s="232"/>
      <c r="H44" s="229"/>
      <c r="I44" s="229"/>
      <c r="J44" s="229"/>
      <c r="K44" s="229"/>
      <c r="L44" s="230"/>
      <c r="M44" s="230"/>
      <c r="N44" s="230"/>
      <c r="O44" s="231"/>
      <c r="P44" s="231"/>
      <c r="Q44" s="231"/>
      <c r="R44" s="236"/>
      <c r="S44" s="233"/>
      <c r="T44" s="233"/>
      <c r="U44" s="233"/>
      <c r="V44" s="234"/>
      <c r="W44" s="234"/>
      <c r="X44" s="234"/>
      <c r="Y44" s="235"/>
      <c r="Z44" s="235"/>
      <c r="AA44" s="235"/>
    </row>
    <row r="45" spans="3:27" ht="12.75" x14ac:dyDescent="0.2">
      <c r="C45" s="227"/>
      <c r="D45" s="227"/>
      <c r="F45" s="228"/>
      <c r="G45" s="232"/>
      <c r="H45" s="229"/>
      <c r="I45" s="229"/>
      <c r="J45" s="229"/>
      <c r="K45" s="229"/>
      <c r="L45" s="230"/>
      <c r="M45" s="230"/>
      <c r="N45" s="230"/>
      <c r="O45" s="231"/>
      <c r="P45" s="231"/>
      <c r="Q45" s="231"/>
      <c r="R45" s="236"/>
      <c r="S45" s="233"/>
      <c r="T45" s="233"/>
      <c r="U45" s="233"/>
      <c r="V45" s="234"/>
      <c r="W45" s="234"/>
      <c r="X45" s="234"/>
      <c r="Y45" s="235"/>
      <c r="Z45" s="235"/>
      <c r="AA45" s="235"/>
    </row>
    <row r="46" spans="3:27" ht="12.75" x14ac:dyDescent="0.2">
      <c r="C46" s="227"/>
      <c r="D46" s="227"/>
      <c r="F46" s="228"/>
      <c r="G46" s="232"/>
      <c r="H46" s="229"/>
      <c r="I46" s="229"/>
      <c r="J46" s="229"/>
      <c r="K46" s="229"/>
      <c r="L46" s="230"/>
      <c r="M46" s="230"/>
      <c r="N46" s="230"/>
      <c r="O46" s="231"/>
      <c r="P46" s="231"/>
      <c r="Q46" s="231"/>
      <c r="R46" s="236"/>
      <c r="S46" s="233"/>
      <c r="T46" s="233"/>
      <c r="U46" s="233"/>
      <c r="V46" s="234"/>
      <c r="W46" s="234"/>
      <c r="X46" s="234"/>
      <c r="Y46" s="235"/>
      <c r="Z46" s="235"/>
      <c r="AA46" s="235"/>
    </row>
    <row r="47" spans="3:27" ht="12.75" x14ac:dyDescent="0.2">
      <c r="C47" s="227"/>
      <c r="D47" s="227"/>
      <c r="F47" s="228"/>
      <c r="G47" s="232"/>
      <c r="H47" s="229"/>
      <c r="I47" s="229"/>
      <c r="J47" s="229"/>
      <c r="K47" s="229"/>
      <c r="L47" s="230"/>
      <c r="M47" s="230"/>
      <c r="N47" s="230"/>
      <c r="O47" s="231"/>
      <c r="P47" s="231"/>
      <c r="Q47" s="231"/>
      <c r="R47" s="236"/>
      <c r="S47" s="233"/>
      <c r="T47" s="233"/>
      <c r="U47" s="233"/>
      <c r="V47" s="234"/>
      <c r="W47" s="234"/>
      <c r="X47" s="234"/>
      <c r="Y47" s="235"/>
      <c r="Z47" s="235"/>
      <c r="AA47" s="235"/>
    </row>
    <row r="48" spans="3:27" ht="12.75" x14ac:dyDescent="0.2">
      <c r="C48" s="227"/>
      <c r="D48" s="227"/>
      <c r="F48" s="228"/>
      <c r="G48" s="232"/>
      <c r="H48" s="229"/>
      <c r="I48" s="229"/>
      <c r="J48" s="229"/>
      <c r="K48" s="229"/>
      <c r="L48" s="230"/>
      <c r="M48" s="230"/>
      <c r="N48" s="230"/>
      <c r="O48" s="231"/>
      <c r="P48" s="231"/>
      <c r="Q48" s="231"/>
      <c r="R48" s="236"/>
      <c r="S48" s="233"/>
      <c r="T48" s="233"/>
      <c r="U48" s="233"/>
      <c r="V48" s="234"/>
      <c r="W48" s="234"/>
      <c r="X48" s="234"/>
      <c r="Y48" s="235"/>
      <c r="Z48" s="235"/>
      <c r="AA48" s="235"/>
    </row>
    <row r="49" spans="3:27" ht="12.75" x14ac:dyDescent="0.2">
      <c r="C49" s="227"/>
      <c r="D49" s="227"/>
      <c r="F49" s="228"/>
      <c r="G49" s="232"/>
      <c r="H49" s="229"/>
      <c r="I49" s="229"/>
      <c r="J49" s="229"/>
      <c r="K49" s="229"/>
      <c r="L49" s="230"/>
      <c r="M49" s="230"/>
      <c r="N49" s="230"/>
      <c r="O49" s="231"/>
      <c r="P49" s="231"/>
      <c r="Q49" s="231"/>
      <c r="R49" s="236"/>
      <c r="S49" s="233"/>
      <c r="T49" s="233"/>
      <c r="U49" s="233"/>
      <c r="V49" s="234"/>
      <c r="W49" s="234"/>
      <c r="X49" s="234"/>
      <c r="Y49" s="235"/>
      <c r="Z49" s="235"/>
      <c r="AA49" s="235"/>
    </row>
    <row r="52" spans="3:27" ht="12.75" x14ac:dyDescent="0.2">
      <c r="C52" s="227"/>
      <c r="D52" s="227"/>
      <c r="F52" s="228"/>
      <c r="G52" s="232"/>
      <c r="H52" s="229"/>
      <c r="I52" s="229"/>
      <c r="J52" s="229"/>
      <c r="K52" s="229"/>
      <c r="L52" s="230"/>
      <c r="M52" s="230"/>
      <c r="N52" s="230"/>
      <c r="O52" s="231"/>
      <c r="P52" s="231"/>
      <c r="Q52" s="231"/>
      <c r="R52" s="236"/>
      <c r="S52" s="233"/>
      <c r="T52" s="233"/>
      <c r="U52" s="233"/>
      <c r="V52" s="234"/>
      <c r="W52" s="234"/>
      <c r="X52" s="234"/>
      <c r="Y52" s="235"/>
      <c r="Z52" s="235"/>
      <c r="AA52" s="235"/>
    </row>
    <row r="53" spans="3:27" ht="12.75" x14ac:dyDescent="0.2">
      <c r="C53" s="227"/>
      <c r="D53" s="227"/>
      <c r="F53" s="228"/>
      <c r="G53" s="232"/>
      <c r="H53" s="229"/>
      <c r="I53" s="229"/>
      <c r="J53" s="229"/>
      <c r="K53" s="229"/>
      <c r="L53" s="230"/>
      <c r="M53" s="230"/>
      <c r="N53" s="230"/>
      <c r="O53" s="231"/>
      <c r="P53" s="231"/>
      <c r="Q53" s="231"/>
      <c r="R53" s="236"/>
      <c r="S53" s="233"/>
      <c r="T53" s="233"/>
      <c r="U53" s="233"/>
      <c r="V53" s="234"/>
      <c r="W53" s="234"/>
      <c r="X53" s="234"/>
      <c r="Y53" s="235"/>
      <c r="Z53" s="235"/>
      <c r="AA53" s="235"/>
    </row>
    <row r="54" spans="3:27" ht="12.75" x14ac:dyDescent="0.2">
      <c r="C54" s="227"/>
      <c r="D54" s="227"/>
      <c r="F54" s="228"/>
      <c r="G54" s="232"/>
      <c r="H54" s="229"/>
      <c r="I54" s="229"/>
      <c r="J54" s="229"/>
      <c r="K54" s="229"/>
      <c r="L54" s="230"/>
      <c r="M54" s="230"/>
      <c r="N54" s="230"/>
      <c r="O54" s="231"/>
      <c r="P54" s="231"/>
      <c r="Q54" s="231"/>
      <c r="R54" s="236"/>
      <c r="S54" s="233"/>
      <c r="T54" s="233"/>
      <c r="U54" s="233"/>
      <c r="V54" s="234"/>
      <c r="W54" s="234"/>
      <c r="X54" s="234"/>
      <c r="Y54" s="235"/>
      <c r="Z54" s="235"/>
      <c r="AA54" s="235"/>
    </row>
    <row r="57" spans="3:27" ht="12.75" x14ac:dyDescent="0.2">
      <c r="C57" s="227"/>
      <c r="D57" s="227"/>
      <c r="F57" s="228"/>
      <c r="G57" s="232"/>
      <c r="H57" s="229"/>
      <c r="I57" s="229"/>
      <c r="J57" s="229"/>
      <c r="K57" s="229"/>
      <c r="L57" s="230"/>
      <c r="M57" s="230"/>
      <c r="N57" s="230"/>
      <c r="O57" s="231"/>
      <c r="P57" s="231"/>
      <c r="Q57" s="231"/>
      <c r="R57" s="236"/>
      <c r="S57" s="233"/>
      <c r="T57" s="233"/>
      <c r="U57" s="233"/>
      <c r="V57" s="234"/>
      <c r="W57" s="234"/>
      <c r="X57" s="234"/>
      <c r="Y57" s="235"/>
      <c r="Z57" s="235"/>
      <c r="AA57" s="235"/>
    </row>
    <row r="58" spans="3:27" ht="12.75" x14ac:dyDescent="0.2">
      <c r="C58" s="227"/>
      <c r="D58" s="227"/>
      <c r="F58" s="228"/>
      <c r="G58" s="232"/>
      <c r="H58" s="229"/>
      <c r="I58" s="229"/>
      <c r="J58" s="229"/>
      <c r="K58" s="229"/>
      <c r="L58" s="230"/>
      <c r="M58" s="230"/>
      <c r="N58" s="230"/>
      <c r="O58" s="231"/>
      <c r="P58" s="231"/>
      <c r="Q58" s="231"/>
      <c r="R58" s="236"/>
      <c r="S58" s="233"/>
      <c r="T58" s="233"/>
      <c r="U58" s="233"/>
      <c r="V58" s="234"/>
      <c r="W58" s="234"/>
      <c r="X58" s="234"/>
      <c r="Y58" s="235"/>
      <c r="Z58" s="235"/>
      <c r="AA58" s="235"/>
    </row>
    <row r="59" spans="3:27" ht="12.75" x14ac:dyDescent="0.2">
      <c r="C59" s="227"/>
      <c r="D59" s="227"/>
      <c r="F59" s="228"/>
      <c r="G59" s="232"/>
      <c r="H59" s="229"/>
      <c r="I59" s="229"/>
      <c r="J59" s="229"/>
      <c r="K59" s="229"/>
      <c r="L59" s="230"/>
      <c r="M59" s="230"/>
      <c r="N59" s="230"/>
      <c r="O59" s="231"/>
      <c r="P59" s="231"/>
      <c r="Q59" s="231"/>
      <c r="R59" s="236"/>
      <c r="S59" s="233"/>
      <c r="T59" s="233"/>
      <c r="U59" s="233"/>
      <c r="V59" s="234"/>
      <c r="W59" s="234"/>
      <c r="X59" s="234"/>
      <c r="Y59" s="235"/>
      <c r="Z59" s="235"/>
      <c r="AA59" s="235"/>
    </row>
    <row r="60" spans="3:27" ht="12.75" x14ac:dyDescent="0.2">
      <c r="C60" s="227"/>
      <c r="D60" s="227"/>
      <c r="F60" s="228"/>
      <c r="G60" s="232"/>
      <c r="H60" s="229"/>
      <c r="I60" s="229"/>
      <c r="J60" s="229"/>
      <c r="K60" s="229"/>
      <c r="L60" s="230"/>
      <c r="M60" s="230"/>
      <c r="N60" s="230"/>
      <c r="O60" s="231"/>
      <c r="P60" s="231"/>
      <c r="Q60" s="231"/>
      <c r="R60" s="236"/>
      <c r="S60" s="233"/>
      <c r="T60" s="233"/>
      <c r="U60" s="233"/>
      <c r="V60" s="234"/>
      <c r="W60" s="234"/>
      <c r="X60" s="234"/>
      <c r="Y60" s="235"/>
      <c r="Z60" s="235"/>
      <c r="AA60" s="235"/>
    </row>
  </sheetData>
  <mergeCells count="17">
    <mergeCell ref="S7:U7"/>
    <mergeCell ref="V7:X7"/>
    <mergeCell ref="Y7:AA7"/>
    <mergeCell ref="S6:AA6"/>
    <mergeCell ref="R5:AA5"/>
    <mergeCell ref="R6:R8"/>
    <mergeCell ref="H7:J7"/>
    <mergeCell ref="L7:N7"/>
    <mergeCell ref="O7:Q7"/>
    <mergeCell ref="H6:Q6"/>
    <mergeCell ref="G5:Q5"/>
    <mergeCell ref="G6:G8"/>
    <mergeCell ref="A6:A8"/>
    <mergeCell ref="C6:C8"/>
    <mergeCell ref="D6:D8"/>
    <mergeCell ref="B6:B8"/>
    <mergeCell ref="E6:E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28E598AA1A84286996F3D759AAB77" ma:contentTypeVersion="10" ma:contentTypeDescription="Create a new document." ma:contentTypeScope="" ma:versionID="31ee75bda46174e67af8629cea92fd97">
  <xsd:schema xmlns:xsd="http://www.w3.org/2001/XMLSchema" xmlns:xs="http://www.w3.org/2001/XMLSchema" xmlns:p="http://schemas.microsoft.com/office/2006/metadata/properties" xmlns:ns2="b2957d10-2758-4fb0-96c9-ffe4c87a6ad4" xmlns:ns3="9081a385-c01c-48ac-a838-6ea2c6c9cf0a" targetNamespace="http://schemas.microsoft.com/office/2006/metadata/properties" ma:root="true" ma:fieldsID="de9e062c99e96d700108857875d77c9f" ns2:_="" ns3:_="">
    <xsd:import namespace="b2957d10-2758-4fb0-96c9-ffe4c87a6ad4"/>
    <xsd:import namespace="9081a385-c01c-48ac-a838-6ea2c6c9cf0a"/>
    <xsd:element name="properties">
      <xsd:complexType>
        <xsd:sequence>
          <xsd:element name="documentManagement">
            <xsd:complexType>
              <xsd:all>
                <xsd:element ref="ns2:_x004c_2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cop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57d10-2758-4fb0-96c9-ffe4c87a6ad4" elementFormDefault="qualified">
    <xsd:import namespace="http://schemas.microsoft.com/office/2006/documentManagement/types"/>
    <xsd:import namespace="http://schemas.microsoft.com/office/infopath/2007/PartnerControls"/>
    <xsd:element name="_x004c_2" ma:index="2" nillable="true" ma:displayName="L2" ma:default="NONE" ma:description="WBS Number" ma:format="Dropdown" ma:internalName="_x004c_2">
      <xsd:simpleType>
        <xsd:restriction base="dms:Choice">
          <xsd:enumeration value="1.1 Project Mgmt."/>
          <xsd:enumeration value="1.2 Drill"/>
          <xsd:enumeration value="1.3 Sensors"/>
          <xsd:enumeration value="1.4 Comms, Power, Timing"/>
          <xsd:enumeration value="1.5 Calibration"/>
          <xsd:enumeration value="1.6 Integration"/>
          <xsd:enumeration value="NONE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Scope" ma:index="13" nillable="true" ma:displayName="Scope" ma:format="Dropdown" ma:internalName="Scope">
      <xsd:simpleType>
        <xsd:restriction base="dms:Choice">
          <xsd:enumeration value="M &amp; O"/>
          <xsd:enumeration value="Upgrade"/>
          <xsd:enumeration value="Gen2"/>
          <xsd:enumeration value="All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1a385-c01c-48ac-a838-6ea2c6c9c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4c_2 xmlns="b2957d10-2758-4fb0-96c9-ffe4c87a6ad4">1.1 Project Mgmt.</_x004c_2>
    <SharedWithUsers xmlns="9081a385-c01c-48ac-a838-6ea2c6c9cf0a">
      <UserInfo>
        <DisplayName>Catherine Vakhnina</DisplayName>
        <AccountId>13</AccountId>
        <AccountType/>
      </UserInfo>
    </SharedWithUsers>
    <Scope xmlns="b2957d10-2758-4fb0-96c9-ffe4c87a6ad4">Upgrade</Scope>
  </documentManagement>
</p:properties>
</file>

<file path=customXml/itemProps1.xml><?xml version="1.0" encoding="utf-8"?>
<ds:datastoreItem xmlns:ds="http://schemas.openxmlformats.org/officeDocument/2006/customXml" ds:itemID="{7125D8CA-90C8-46BF-87FE-57AD60373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57d10-2758-4fb0-96c9-ffe4c87a6ad4"/>
    <ds:schemaRef ds:uri="9081a385-c01c-48ac-a838-6ea2c6c9c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34D0E8-7F9F-4275-8725-33CFEDE13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5C353-B8BB-47B6-8EEC-4F0259F5E4B0}">
  <ds:schemaRefs>
    <ds:schemaRef ds:uri="http://schemas.microsoft.com/office/2006/metadata/properties"/>
    <ds:schemaRef ds:uri="http://schemas.microsoft.com/office/infopath/2007/PartnerControls"/>
    <ds:schemaRef ds:uri="b2957d10-2758-4fb0-96c9-ffe4c87a6ad4"/>
    <ds:schemaRef ds:uri="9081a385-c01c-48ac-a838-6ea2c6c9cf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Storage Summary</vt:lpstr>
      <vt:lpstr>Cargo Shipped 2019</vt:lpstr>
      <vt:lpstr>Sheet X</vt:lpstr>
      <vt:lpstr>Drill Hose Logistics</vt:lpstr>
      <vt:lpstr>Cargo Summary</vt:lpstr>
      <vt:lpstr>All Cargo to NPX</vt:lpstr>
      <vt:lpstr>TraverseDetails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Hutchings</dc:creator>
  <cp:keywords/>
  <dc:description/>
  <cp:lastModifiedBy>TERRY L BENSON</cp:lastModifiedBy>
  <cp:revision/>
  <dcterms:created xsi:type="dcterms:W3CDTF">2019-05-03T14:48:18Z</dcterms:created>
  <dcterms:modified xsi:type="dcterms:W3CDTF">2020-04-28T22:16:59Z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0x01010046528E598AA1A84286996F3D759AAB77</vt:lpwstr>
  </property>
  <property fmtid="{D5CDD505-2E9C-101B-9397-08002B2CF9AE}" pid="3" name="Order">
    <vt:r8>313100</vt:r8>
  </property>
  <property fmtid="{D5CDD505-2E9C-101B-9397-08002B2CF9AE}" pid="4" name="ComplianceAssetId">
    <vt:lpwstr/>
  </property>
  <property fmtid="{D5CDD505-2E9C-101B-9397-08002B2CF9AE}" pid="5" name="Subject Matter">
    <vt:lpwstr>4;#None|9d4c63f4-6087-4112-94b8-c120226e1cba</vt:lpwstr>
  </property>
  <property fmtid="{D5CDD505-2E9C-101B-9397-08002B2CF9AE}" pid="6" name="l007e04deddf409dba1f78a15428ac66">
    <vt:lpwstr>None|9d4c63f4-6087-4112-94b8-c120226e1cba</vt:lpwstr>
  </property>
  <property fmtid="{D5CDD505-2E9C-101B-9397-08002B2CF9AE}" pid="7" name="Content Category">
    <vt:lpwstr>Record - Review</vt:lpwstr>
  </property>
  <property fmtid="{D5CDD505-2E9C-101B-9397-08002B2CF9AE}" pid="8" name="Core?">
    <vt:bool>false</vt:bool>
  </property>
  <property fmtid="{D5CDD505-2E9C-101B-9397-08002B2CF9AE}" pid="9" name="Meeting">
    <vt:lpwstr>None</vt:lpwstr>
  </property>
  <property fmtid="{D5CDD505-2E9C-101B-9397-08002B2CF9AE}" pid="10" name="L3">
    <vt:lpwstr>34</vt:lpwstr>
  </property>
  <property fmtid="{D5CDD505-2E9C-101B-9397-08002B2CF9AE}" pid="11" name="Origin">
    <vt:lpwstr>Internal</vt:lpwstr>
  </property>
  <property fmtid="{D5CDD505-2E9C-101B-9397-08002B2CF9AE}" pid="12" name="L2 New">
    <vt:lpwstr>2</vt:lpwstr>
  </property>
  <property fmtid="{D5CDD505-2E9C-101B-9397-08002B2CF9AE}" pid="13" name="Custodian">
    <vt:lpwstr>Jim Haugen</vt:lpwstr>
  </property>
  <property fmtid="{D5CDD505-2E9C-101B-9397-08002B2CF9AE}" pid="14" name="L4">
    <vt:lpwstr>None</vt:lpwstr>
  </property>
  <property fmtid="{D5CDD505-2E9C-101B-9397-08002B2CF9AE}" pid="15" name="Keywords-simple">
    <vt:lpwstr>Pole Planning</vt:lpwstr>
  </property>
  <property fmtid="{D5CDD505-2E9C-101B-9397-08002B2CF9AE}" pid="16" name="SharedWithUsers">
    <vt:lpwstr>13;#Catherine Vakhnina</vt:lpwstr>
  </property>
  <property fmtid="{D5CDD505-2E9C-101B-9397-08002B2CF9AE}" pid="17" name="Reviews">
    <vt:lpwstr>;#None;#</vt:lpwstr>
  </property>
  <property fmtid="{D5CDD505-2E9C-101B-9397-08002B2CF9AE}" pid="18" name="Config. Item Name">
    <vt:lpwstr>---</vt:lpwstr>
  </property>
  <property fmtid="{D5CDD505-2E9C-101B-9397-08002B2CF9AE}" pid="19" name="TaxCatchAll">
    <vt:lpwstr>4;#</vt:lpwstr>
  </property>
</Properties>
</file>